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kturman\FY21\GRANTS\Consolidated\SNS\"/>
    </mc:Choice>
  </mc:AlternateContent>
  <bookViews>
    <workbookView xWindow="0" yWindow="0" windowWidth="28800" windowHeight="11835" tabRatio="874"/>
  </bookViews>
  <sheets>
    <sheet name="1-PERSONNEL SUMMARY" sheetId="45" r:id="rId1"/>
    <sheet name="2-Section Report" sheetId="47" r:id="rId2"/>
    <sheet name="3-Inst. TA" sheetId="46" r:id="rId3"/>
    <sheet name="4-NON Salary &amp; Benefit SUMMARY" sheetId="44" r:id="rId4"/>
    <sheet name="5-Enrollment Projection" sheetId="5" r:id="rId5"/>
    <sheet name="6-Schools" sheetId="1" r:id="rId6"/>
    <sheet name="7-Nurse" sheetId="37" r:id="rId7"/>
    <sheet name="8-Capital Equip-Schools" sheetId="7" r:id="rId8"/>
    <sheet name="9-Lib-Media" sheetId="9" r:id="rId9"/>
    <sheet name="10-Admin" sheetId="41" r:id="rId10"/>
    <sheet name="11-School Improvment" sheetId="43" r:id="rId11"/>
    <sheet name="12-Misc School Allocations" sheetId="20" r:id="rId12"/>
    <sheet name="13-Custodial" sheetId="12" r:id="rId13"/>
    <sheet name="14-Special Prog" sheetId="8" r:id="rId14"/>
    <sheet name="15-Prof'l Dev-Certified" sheetId="24" r:id="rId15"/>
    <sheet name="16-Prof'l Dev-ESP" sheetId="14" r:id="rId16"/>
    <sheet name="Field Trips" sheetId="21" r:id="rId17"/>
    <sheet name="Mileage-Schools" sheetId="18" r:id="rId18"/>
    <sheet name="Telephone" sheetId="6" r:id="rId19"/>
    <sheet name="Utilities" sheetId="27" r:id="rId20"/>
    <sheet name="Fuel" sheetId="30" r:id="rId21"/>
    <sheet name="Mileage-Departments" sheetId="31" r:id="rId22"/>
    <sheet name="Activities Dept Breakdown" sheetId="33" r:id="rId23"/>
    <sheet name="Capital Equip-Finance" sheetId="32" r:id="rId24"/>
    <sheet name="Departments" sheetId="2" r:id="rId25"/>
    <sheet name="Summary" sheetId="4" r:id="rId26"/>
    <sheet name="Notes" sheetId="15" r:id="rId27"/>
  </sheets>
  <externalReferences>
    <externalReference r:id="rId28"/>
  </externalReferences>
  <definedNames>
    <definedName name="_xlnm.Print_Area" localSheetId="11">'12-Misc School Allocations'!$A$1:$F$46</definedName>
    <definedName name="_xlnm.Print_Area" localSheetId="14">'15-Prof''l Dev-Certified'!$A$1:$F$59</definedName>
    <definedName name="_xlnm.Print_Area" localSheetId="15">'16-Prof''l Dev-ESP'!$A$1:$H$60</definedName>
    <definedName name="_xlnm.Print_Area" localSheetId="6">'7-Nurse'!$A$1:$F$55</definedName>
    <definedName name="_xlnm.Print_Area" localSheetId="20">Fuel!$A$1:$F$50</definedName>
    <definedName name="_xlnm.Print_Area" localSheetId="25">Summary!$A$1:$E$61</definedName>
    <definedName name="_xlnm.Print_Titles" localSheetId="11">'12-Misc School Allocations'!$1:$9</definedName>
    <definedName name="_xlnm.Print_Titles" localSheetId="24">Departments!$1:$7</definedName>
  </definedNames>
  <calcPr calcId="162913"/>
</workbook>
</file>

<file path=xl/calcChain.xml><?xml version="1.0" encoding="utf-8"?>
<calcChain xmlns="http://schemas.openxmlformats.org/spreadsheetml/2006/main">
  <c r="C20" i="45" l="1"/>
  <c r="C38" i="4" l="1"/>
  <c r="C37" i="4"/>
  <c r="C36" i="4"/>
  <c r="C35" i="4"/>
  <c r="C34" i="4"/>
  <c r="C32" i="4"/>
  <c r="C29" i="6"/>
  <c r="C24" i="21"/>
  <c r="C22" i="21"/>
  <c r="C21" i="21"/>
  <c r="C20" i="21"/>
  <c r="C12" i="21"/>
  <c r="C9" i="12"/>
  <c r="C10" i="12"/>
  <c r="C11" i="12"/>
  <c r="F45" i="5"/>
  <c r="F44" i="5"/>
  <c r="G66" i="2" l="1"/>
  <c r="J66" i="2" s="1"/>
  <c r="G34" i="2"/>
  <c r="J34" i="2" s="1"/>
  <c r="G303" i="2"/>
  <c r="J303" i="2" s="1"/>
  <c r="G302" i="2"/>
  <c r="J302" i="2" s="1"/>
  <c r="G299" i="2"/>
  <c r="J299" i="2" s="1"/>
  <c r="D282" i="2"/>
  <c r="G282" i="2" s="1"/>
  <c r="J282" i="2" s="1"/>
  <c r="G283" i="2"/>
  <c r="J283" i="2" s="1"/>
  <c r="G278" i="2"/>
  <c r="J278" i="2" s="1"/>
  <c r="G267" i="2"/>
  <c r="J267" i="2" s="1"/>
  <c r="G238" i="2"/>
  <c r="J238" i="2" s="1"/>
  <c r="G239" i="2"/>
  <c r="J239" i="2" s="1"/>
  <c r="G209" i="2"/>
  <c r="J209" i="2" s="1"/>
  <c r="E193" i="2"/>
  <c r="E194" i="2"/>
  <c r="D195" i="2"/>
  <c r="E195" i="2"/>
  <c r="D196" i="2"/>
  <c r="E196" i="2"/>
  <c r="F196" i="2"/>
  <c r="D197" i="2"/>
  <c r="E198" i="2"/>
  <c r="E204" i="2"/>
  <c r="F210" i="2"/>
  <c r="D161" i="2"/>
  <c r="D128" i="2"/>
  <c r="G120" i="2"/>
  <c r="J120" i="2" s="1"/>
  <c r="D119" i="2"/>
  <c r="C101" i="2"/>
  <c r="D61" i="2"/>
  <c r="C50" i="2"/>
  <c r="C49" i="2"/>
  <c r="G23" i="2"/>
  <c r="J23" i="2" s="1"/>
  <c r="C20" i="2"/>
  <c r="C11" i="1"/>
  <c r="C12" i="1"/>
  <c r="C10" i="1"/>
  <c r="C30" i="4" l="1"/>
  <c r="G101" i="2"/>
  <c r="J101" i="2" s="1"/>
  <c r="C31" i="4"/>
  <c r="L41" i="44"/>
  <c r="L38" i="44"/>
  <c r="L35" i="44"/>
  <c r="L34" i="44"/>
  <c r="L30" i="44"/>
  <c r="L29" i="44"/>
  <c r="K38" i="44"/>
  <c r="E256" i="2" l="1"/>
  <c r="E242" i="2"/>
  <c r="E215" i="2"/>
  <c r="E214" i="2"/>
  <c r="E213" i="2"/>
  <c r="G204" i="2"/>
  <c r="G198" i="2"/>
  <c r="G194" i="2"/>
  <c r="G193" i="2"/>
  <c r="E177" i="2"/>
  <c r="G177" i="2" s="1"/>
  <c r="D215" i="2"/>
  <c r="D256" i="2"/>
  <c r="G256" i="2" s="1"/>
  <c r="D214" i="2"/>
  <c r="G197" i="2"/>
  <c r="G195" i="2"/>
  <c r="G161" i="2"/>
  <c r="D156" i="2"/>
  <c r="G156" i="2" s="1"/>
  <c r="G272" i="2"/>
  <c r="J272" i="2" s="1"/>
  <c r="G248" i="2"/>
  <c r="J248" i="2" s="1"/>
  <c r="J107" i="2"/>
  <c r="J162" i="2"/>
  <c r="G313" i="2"/>
  <c r="G310" i="2"/>
  <c r="G309" i="2"/>
  <c r="G308" i="2"/>
  <c r="G307" i="2"/>
  <c r="G298" i="2"/>
  <c r="G297" i="2"/>
  <c r="G292" i="2"/>
  <c r="J292" i="2" s="1"/>
  <c r="G291" i="2"/>
  <c r="G290" i="2"/>
  <c r="G289" i="2"/>
  <c r="G288" i="2"/>
  <c r="G287" i="2"/>
  <c r="G286" i="2"/>
  <c r="G279" i="2"/>
  <c r="G277" i="2"/>
  <c r="G276" i="2"/>
  <c r="G275" i="2"/>
  <c r="G274" i="2"/>
  <c r="G273" i="2"/>
  <c r="G271" i="2"/>
  <c r="G270" i="2"/>
  <c r="G269" i="2"/>
  <c r="G268" i="2"/>
  <c r="G266" i="2"/>
  <c r="G263" i="2"/>
  <c r="G260" i="2"/>
  <c r="G259" i="2"/>
  <c r="G258" i="2"/>
  <c r="G257" i="2"/>
  <c r="G255" i="2"/>
  <c r="G254" i="2"/>
  <c r="G253" i="2"/>
  <c r="G252" i="2"/>
  <c r="G251" i="2"/>
  <c r="G250" i="2"/>
  <c r="G249" i="2"/>
  <c r="G247" i="2"/>
  <c r="G246" i="2"/>
  <c r="G245" i="2"/>
  <c r="G244" i="2"/>
  <c r="G243" i="2"/>
  <c r="G237" i="2"/>
  <c r="G236" i="2"/>
  <c r="G235" i="2"/>
  <c r="G234" i="2"/>
  <c r="G233" i="2"/>
  <c r="G232" i="2"/>
  <c r="G231" i="2"/>
  <c r="G230" i="2"/>
  <c r="G229" i="2"/>
  <c r="G226" i="2"/>
  <c r="G225" i="2"/>
  <c r="G224" i="2"/>
  <c r="G223" i="2"/>
  <c r="G222" i="2"/>
  <c r="G221" i="2"/>
  <c r="G220" i="2"/>
  <c r="G219" i="2"/>
  <c r="G218" i="2"/>
  <c r="G217" i="2"/>
  <c r="G216" i="2"/>
  <c r="G208" i="2"/>
  <c r="G207" i="2"/>
  <c r="G206" i="2"/>
  <c r="G205" i="2"/>
  <c r="G203" i="2"/>
  <c r="G202" i="2"/>
  <c r="G201" i="2"/>
  <c r="G200" i="2"/>
  <c r="G199" i="2"/>
  <c r="G192" i="2"/>
  <c r="G189" i="2"/>
  <c r="G188" i="2"/>
  <c r="G187" i="2"/>
  <c r="G186" i="2"/>
  <c r="G183" i="2"/>
  <c r="G180" i="2"/>
  <c r="G178" i="2"/>
  <c r="G174" i="2"/>
  <c r="G172" i="2"/>
  <c r="G171" i="2"/>
  <c r="G170" i="2"/>
  <c r="G169" i="2"/>
  <c r="G168" i="2"/>
  <c r="G165" i="2"/>
  <c r="G164" i="2"/>
  <c r="G163" i="2"/>
  <c r="G157" i="2"/>
  <c r="G152" i="2"/>
  <c r="G150" i="2"/>
  <c r="G149" i="2"/>
  <c r="G148" i="2"/>
  <c r="G147" i="2"/>
  <c r="G146" i="2"/>
  <c r="G145" i="2"/>
  <c r="G144" i="2"/>
  <c r="G143" i="2"/>
  <c r="G140" i="2"/>
  <c r="G137" i="2"/>
  <c r="G136" i="2"/>
  <c r="G135" i="2"/>
  <c r="G134" i="2"/>
  <c r="G131" i="2"/>
  <c r="J131" i="2" s="1"/>
  <c r="G127" i="2"/>
  <c r="G126" i="2"/>
  <c r="G125" i="2"/>
  <c r="G124" i="2"/>
  <c r="G123" i="2"/>
  <c r="G119" i="2"/>
  <c r="G115" i="2"/>
  <c r="G112" i="2"/>
  <c r="G111" i="2"/>
  <c r="G108" i="2"/>
  <c r="G104" i="2"/>
  <c r="G100" i="2"/>
  <c r="G99" i="2"/>
  <c r="G98" i="2"/>
  <c r="G95" i="2"/>
  <c r="G94" i="2"/>
  <c r="G93" i="2"/>
  <c r="G92" i="2"/>
  <c r="G91" i="2"/>
  <c r="G90" i="2"/>
  <c r="G89" i="2"/>
  <c r="G86" i="2"/>
  <c r="G82" i="2"/>
  <c r="G81" i="2"/>
  <c r="G80" i="2"/>
  <c r="G79" i="2"/>
  <c r="G78" i="2"/>
  <c r="G77" i="2"/>
  <c r="G76" i="2"/>
  <c r="G72" i="2"/>
  <c r="G69" i="2"/>
  <c r="G65" i="2"/>
  <c r="G64" i="2"/>
  <c r="G63" i="2"/>
  <c r="G62" i="2"/>
  <c r="G61" i="2"/>
  <c r="G59" i="2"/>
  <c r="J59" i="2" s="1"/>
  <c r="G58" i="2"/>
  <c r="G57" i="2"/>
  <c r="G56" i="2"/>
  <c r="G55" i="2"/>
  <c r="G54" i="2"/>
  <c r="G53" i="2"/>
  <c r="G52" i="2"/>
  <c r="G51" i="2"/>
  <c r="G50" i="2"/>
  <c r="G49" i="2"/>
  <c r="G46" i="2"/>
  <c r="G45" i="2"/>
  <c r="G44" i="2"/>
  <c r="G40" i="2"/>
  <c r="G37" i="2"/>
  <c r="G33" i="2"/>
  <c r="G32" i="2"/>
  <c r="G31" i="2"/>
  <c r="G30" i="2"/>
  <c r="G29" i="2"/>
  <c r="G28" i="2"/>
  <c r="G27" i="2"/>
  <c r="G26" i="2"/>
  <c r="G22" i="2"/>
  <c r="G21" i="2"/>
  <c r="G20" i="2"/>
  <c r="G19" i="2"/>
  <c r="G18" i="2"/>
  <c r="G17" i="2"/>
  <c r="G16" i="2"/>
  <c r="G15" i="2"/>
  <c r="G14" i="2"/>
  <c r="G13" i="2"/>
  <c r="G10" i="2"/>
  <c r="G128" i="2"/>
  <c r="G118" i="2"/>
  <c r="G60" i="2"/>
  <c r="D43" i="2"/>
  <c r="G43" i="2" s="1"/>
  <c r="F22" i="33"/>
  <c r="B14" i="27"/>
  <c r="D38" i="21"/>
  <c r="D32" i="21"/>
  <c r="D40" i="21" s="1"/>
  <c r="AB51" i="45" l="1"/>
  <c r="D38" i="45"/>
  <c r="E38" i="45"/>
  <c r="F38" i="45"/>
  <c r="G38" i="45"/>
  <c r="H38" i="45"/>
  <c r="I38" i="45"/>
  <c r="J38" i="45"/>
  <c r="K38" i="45"/>
  <c r="L38" i="45"/>
  <c r="M38" i="45"/>
  <c r="N38" i="45"/>
  <c r="O38" i="45"/>
  <c r="P38" i="45"/>
  <c r="Q38" i="45"/>
  <c r="R38" i="45"/>
  <c r="S38" i="45"/>
  <c r="T38" i="45"/>
  <c r="U38" i="45"/>
  <c r="V38" i="45"/>
  <c r="W38" i="45"/>
  <c r="X38" i="45"/>
  <c r="Y38" i="45"/>
  <c r="Z38" i="45"/>
  <c r="AA38" i="45"/>
  <c r="J2" i="46"/>
  <c r="K2" i="46" s="1"/>
  <c r="I2" i="46"/>
  <c r="Q6" i="47"/>
  <c r="Q7" i="47"/>
  <c r="Q8" i="47"/>
  <c r="Q9" i="47"/>
  <c r="Q10" i="47"/>
  <c r="Q11" i="47"/>
  <c r="Q12" i="47"/>
  <c r="Q13" i="47"/>
  <c r="Q14" i="47"/>
  <c r="Q15" i="47"/>
  <c r="Q16" i="47"/>
  <c r="Q17" i="47"/>
  <c r="Q18" i="47"/>
  <c r="Q5" i="47"/>
  <c r="N20" i="47"/>
  <c r="L20" i="47"/>
  <c r="J20" i="47"/>
  <c r="H20" i="47"/>
  <c r="F20" i="47"/>
  <c r="D20" i="47"/>
  <c r="B20" i="47"/>
  <c r="P6" i="47"/>
  <c r="P7" i="47"/>
  <c r="P8" i="47"/>
  <c r="P9" i="47"/>
  <c r="P10" i="47"/>
  <c r="R10" i="47" s="1"/>
  <c r="P11" i="47"/>
  <c r="P12" i="47"/>
  <c r="R12" i="47" s="1"/>
  <c r="P13" i="47"/>
  <c r="P14" i="47"/>
  <c r="P15" i="47"/>
  <c r="P16" i="47"/>
  <c r="P17" i="47"/>
  <c r="P18" i="47"/>
  <c r="P5" i="47"/>
  <c r="R5" i="47" s="1"/>
  <c r="R8" i="47" l="1"/>
  <c r="R6" i="47"/>
  <c r="R17" i="47"/>
  <c r="R16" i="47"/>
  <c r="R11" i="47"/>
  <c r="R9" i="47"/>
  <c r="R13" i="47"/>
  <c r="R7" i="47"/>
  <c r="R18" i="47"/>
  <c r="R14" i="47"/>
  <c r="R15" i="47"/>
  <c r="Q20" i="47"/>
  <c r="P20" i="47"/>
  <c r="AA22" i="45"/>
  <c r="AA30" i="45"/>
  <c r="AA45" i="45"/>
  <c r="AA52" i="45"/>
  <c r="R20" i="47" l="1"/>
  <c r="C51" i="45"/>
  <c r="C44" i="45"/>
  <c r="C37" i="45"/>
  <c r="C36" i="45"/>
  <c r="C29" i="45"/>
  <c r="C28" i="45"/>
  <c r="C21" i="45"/>
  <c r="C19" i="45"/>
  <c r="C18" i="45"/>
  <c r="C17" i="45"/>
  <c r="C16" i="45"/>
  <c r="C15" i="45"/>
  <c r="C14" i="45"/>
  <c r="C13" i="45"/>
  <c r="C12" i="45"/>
  <c r="C11" i="45"/>
  <c r="C10" i="45"/>
  <c r="C9" i="45"/>
  <c r="C8" i="45"/>
  <c r="C38" i="45" l="1"/>
  <c r="Q26" i="44"/>
  <c r="C24" i="44"/>
  <c r="C23" i="44"/>
  <c r="C25" i="44"/>
  <c r="C22" i="44"/>
  <c r="C20" i="44"/>
  <c r="C21" i="44"/>
  <c r="C19" i="44"/>
  <c r="C18" i="44"/>
  <c r="C16" i="44"/>
  <c r="C15" i="44"/>
  <c r="C17" i="44"/>
  <c r="C14" i="44"/>
  <c r="C13" i="44"/>
  <c r="C12" i="44"/>
  <c r="J34" i="1"/>
  <c r="B39" i="1"/>
  <c r="B38" i="1"/>
  <c r="B37" i="1"/>
  <c r="B36" i="1"/>
  <c r="B33" i="1"/>
  <c r="B32" i="1"/>
  <c r="B29" i="1"/>
  <c r="B27" i="1"/>
  <c r="B26" i="1"/>
  <c r="B25" i="1"/>
  <c r="B24" i="1"/>
  <c r="B23" i="1"/>
  <c r="B22" i="1"/>
  <c r="B21" i="1"/>
  <c r="B20" i="1"/>
  <c r="B19" i="1"/>
  <c r="B18" i="1"/>
  <c r="B17" i="1"/>
  <c r="B16" i="1"/>
  <c r="B15" i="1"/>
  <c r="B12" i="1"/>
  <c r="B11" i="1"/>
  <c r="B10" i="1"/>
  <c r="C38" i="44"/>
  <c r="C41" i="44"/>
  <c r="C35" i="44"/>
  <c r="C34" i="44"/>
  <c r="C43" i="44" s="1"/>
  <c r="C30" i="44"/>
  <c r="C29" i="44"/>
  <c r="C31" i="44" s="1"/>
  <c r="C26" i="44" l="1"/>
  <c r="C46" i="44" s="1"/>
  <c r="G9" i="2" l="1"/>
  <c r="C14" i="33" l="1"/>
  <c r="C26" i="33" s="1"/>
  <c r="E39" i="6"/>
  <c r="D29" i="6"/>
  <c r="C30" i="43"/>
  <c r="J30" i="44" s="1"/>
  <c r="C29" i="43"/>
  <c r="J29" i="44" s="1"/>
  <c r="C9" i="43"/>
  <c r="C10" i="43"/>
  <c r="C8" i="43"/>
  <c r="D37" i="37"/>
  <c r="F41" i="44" s="1"/>
  <c r="D34" i="37"/>
  <c r="F38" i="44" s="1"/>
  <c r="D36" i="37"/>
  <c r="F35" i="44" s="1"/>
  <c r="D35" i="37"/>
  <c r="F34" i="44" s="1"/>
  <c r="D31" i="37"/>
  <c r="F30" i="44" s="1"/>
  <c r="D30" i="37"/>
  <c r="F29" i="44" s="1"/>
  <c r="D9" i="37"/>
  <c r="C315" i="2" l="1"/>
  <c r="N45" i="45" l="1"/>
  <c r="Z52" i="45"/>
  <c r="Y52" i="45"/>
  <c r="X52" i="45"/>
  <c r="W52" i="45"/>
  <c r="V52" i="45"/>
  <c r="T52" i="45"/>
  <c r="S52" i="45"/>
  <c r="R52" i="45"/>
  <c r="Q52" i="45"/>
  <c r="P52" i="45"/>
  <c r="O52" i="45"/>
  <c r="N52" i="45"/>
  <c r="M52" i="45"/>
  <c r="L52" i="45"/>
  <c r="K52" i="45"/>
  <c r="J52" i="45"/>
  <c r="I52" i="45"/>
  <c r="H52" i="45"/>
  <c r="G52" i="45"/>
  <c r="F52" i="45"/>
  <c r="E52" i="45"/>
  <c r="D52" i="45"/>
  <c r="Z45" i="45"/>
  <c r="Y45" i="45"/>
  <c r="X45" i="45"/>
  <c r="W45" i="45"/>
  <c r="V45" i="45"/>
  <c r="T45" i="45"/>
  <c r="S45" i="45"/>
  <c r="R45" i="45"/>
  <c r="Q45" i="45"/>
  <c r="P45" i="45"/>
  <c r="O45" i="45"/>
  <c r="M45" i="45"/>
  <c r="L45" i="45"/>
  <c r="K45" i="45"/>
  <c r="J45" i="45"/>
  <c r="I45" i="45"/>
  <c r="H45" i="45"/>
  <c r="G45" i="45"/>
  <c r="F45" i="45"/>
  <c r="E45" i="45"/>
  <c r="D45" i="45"/>
  <c r="AB44" i="45"/>
  <c r="AB45" i="45" s="1"/>
  <c r="AB37" i="45"/>
  <c r="AB36" i="45"/>
  <c r="AB29" i="45"/>
  <c r="V30" i="45"/>
  <c r="W30" i="45"/>
  <c r="D22" i="45"/>
  <c r="E22" i="45"/>
  <c r="F22" i="45"/>
  <c r="G22" i="45"/>
  <c r="H22" i="45"/>
  <c r="I22" i="45"/>
  <c r="J22" i="45"/>
  <c r="K22" i="45"/>
  <c r="L22" i="45"/>
  <c r="M22" i="45"/>
  <c r="N22" i="45"/>
  <c r="O22" i="45"/>
  <c r="P22" i="45"/>
  <c r="Q22" i="45"/>
  <c r="R22" i="45"/>
  <c r="S22" i="45"/>
  <c r="T22" i="45"/>
  <c r="U22" i="45"/>
  <c r="V22" i="45"/>
  <c r="W22" i="45"/>
  <c r="X22" i="45"/>
  <c r="Y22" i="45"/>
  <c r="Z22" i="45"/>
  <c r="C22" i="45"/>
  <c r="E30" i="45"/>
  <c r="F30" i="45"/>
  <c r="G30" i="45"/>
  <c r="H30" i="45"/>
  <c r="I30" i="45"/>
  <c r="J30" i="45"/>
  <c r="K30" i="45"/>
  <c r="L30" i="45"/>
  <c r="M30" i="45"/>
  <c r="N30" i="45"/>
  <c r="O30" i="45"/>
  <c r="P30" i="45"/>
  <c r="Q30" i="45"/>
  <c r="R30" i="45"/>
  <c r="S30" i="45"/>
  <c r="T30" i="45"/>
  <c r="X30" i="45"/>
  <c r="Y30" i="45"/>
  <c r="Z30" i="45"/>
  <c r="AB28" i="45"/>
  <c r="AB8" i="45"/>
  <c r="AB9" i="45"/>
  <c r="AB10" i="45"/>
  <c r="AB11" i="45"/>
  <c r="AB12" i="45"/>
  <c r="AB13" i="45"/>
  <c r="AB14" i="45"/>
  <c r="AB15" i="45"/>
  <c r="AB16" i="45"/>
  <c r="AB17" i="45"/>
  <c r="AB18" i="45"/>
  <c r="AB19" i="45"/>
  <c r="AB20" i="45"/>
  <c r="AB21" i="45"/>
  <c r="H16" i="46"/>
  <c r="G16" i="46"/>
  <c r="F16" i="46"/>
  <c r="E16" i="46"/>
  <c r="D16" i="46"/>
  <c r="C16" i="46"/>
  <c r="B16" i="46"/>
  <c r="J15" i="46"/>
  <c r="K15" i="46" s="1"/>
  <c r="I15" i="46"/>
  <c r="J14" i="46"/>
  <c r="K14" i="46" s="1"/>
  <c r="I14" i="46"/>
  <c r="J13" i="46"/>
  <c r="K13" i="46" s="1"/>
  <c r="I13" i="46"/>
  <c r="J12" i="46"/>
  <c r="K12" i="46" s="1"/>
  <c r="I12" i="46"/>
  <c r="J11" i="46"/>
  <c r="K11" i="46" s="1"/>
  <c r="I11" i="46"/>
  <c r="M10" i="46"/>
  <c r="J10" i="46"/>
  <c r="K10" i="46" s="1"/>
  <c r="I10" i="46"/>
  <c r="J9" i="46"/>
  <c r="K9" i="46" s="1"/>
  <c r="I9" i="46"/>
  <c r="J8" i="46"/>
  <c r="K8" i="46" s="1"/>
  <c r="I8" i="46"/>
  <c r="J7" i="46"/>
  <c r="K7" i="46" s="1"/>
  <c r="I7" i="46"/>
  <c r="J6" i="46"/>
  <c r="K6" i="46" s="1"/>
  <c r="I6" i="46"/>
  <c r="J5" i="46"/>
  <c r="K5" i="46" s="1"/>
  <c r="I5" i="46"/>
  <c r="J4" i="46"/>
  <c r="K4" i="46" s="1"/>
  <c r="I4" i="46"/>
  <c r="J3" i="46"/>
  <c r="K3" i="46" s="1"/>
  <c r="I3" i="46"/>
  <c r="AB38" i="45" l="1"/>
  <c r="I16" i="46"/>
  <c r="J16" i="46"/>
  <c r="AB22" i="45"/>
  <c r="AB52" i="45"/>
  <c r="AB30" i="45"/>
  <c r="K26" i="44" l="1"/>
  <c r="L26" i="44"/>
  <c r="M26" i="44"/>
  <c r="L43" i="44"/>
  <c r="L31" i="44"/>
  <c r="L46" i="44" l="1"/>
  <c r="F43" i="44"/>
  <c r="F31" i="44"/>
  <c r="J31" i="44" l="1"/>
  <c r="Q43" i="44"/>
  <c r="M43" i="44"/>
  <c r="Q31" i="44"/>
  <c r="M31" i="44"/>
  <c r="M46" i="44" l="1"/>
  <c r="Q46" i="44"/>
  <c r="B8" i="43"/>
  <c r="B9" i="43"/>
  <c r="B10" i="43"/>
  <c r="C11" i="43"/>
  <c r="F8" i="5"/>
  <c r="F9" i="5"/>
  <c r="F10" i="5"/>
  <c r="B11" i="5"/>
  <c r="C11" i="5"/>
  <c r="E11" i="5"/>
  <c r="M28" i="1"/>
  <c r="G28" i="1"/>
  <c r="H11" i="1"/>
  <c r="H12" i="1"/>
  <c r="I13" i="1"/>
  <c r="J13" i="1"/>
  <c r="R13" i="1"/>
  <c r="F11" i="5" l="1"/>
  <c r="B11" i="43"/>
  <c r="H10" i="1"/>
  <c r="H13" i="1" s="1"/>
  <c r="B13" i="1"/>
  <c r="C13" i="1" l="1"/>
  <c r="J201" i="2" l="1"/>
  <c r="J62" i="2" l="1"/>
  <c r="J61" i="2"/>
  <c r="C35" i="12" l="1"/>
  <c r="O34" i="44" s="1"/>
  <c r="C36" i="12"/>
  <c r="C34" i="12"/>
  <c r="O38" i="44" s="1"/>
  <c r="C30" i="12"/>
  <c r="O29" i="44" s="1"/>
  <c r="C15" i="12"/>
  <c r="O20" i="44" s="1"/>
  <c r="C16" i="12"/>
  <c r="O12" i="44" s="1"/>
  <c r="C17" i="12"/>
  <c r="O22" i="44" s="1"/>
  <c r="C18" i="12"/>
  <c r="O24" i="44" s="1"/>
  <c r="C19" i="12"/>
  <c r="O14" i="44" s="1"/>
  <c r="C20" i="12"/>
  <c r="O18" i="44" s="1"/>
  <c r="C21" i="12"/>
  <c r="O19" i="44" s="1"/>
  <c r="C22" i="12"/>
  <c r="O25" i="44" s="1"/>
  <c r="C23" i="12"/>
  <c r="O13" i="44" s="1"/>
  <c r="C24" i="12"/>
  <c r="O16" i="44" s="1"/>
  <c r="C25" i="12"/>
  <c r="O17" i="44" s="1"/>
  <c r="C26" i="12"/>
  <c r="O21" i="44" s="1"/>
  <c r="C27" i="12"/>
  <c r="O15" i="44" s="1"/>
  <c r="C14" i="12"/>
  <c r="O23" i="44" s="1"/>
  <c r="C45" i="12"/>
  <c r="C46" i="12"/>
  <c r="C47" i="12"/>
  <c r="C48" i="12"/>
  <c r="C44" i="12"/>
  <c r="O26" i="44" l="1"/>
  <c r="O35" i="44"/>
  <c r="C11" i="9"/>
  <c r="C10" i="9"/>
  <c r="C9" i="9"/>
  <c r="J233" i="2" l="1"/>
  <c r="J43" i="2"/>
  <c r="J128" i="2"/>
  <c r="J197" i="2"/>
  <c r="I14" i="18"/>
  <c r="C52" i="20"/>
  <c r="C51" i="20"/>
  <c r="C50" i="20"/>
  <c r="C49" i="20"/>
  <c r="C48" i="20"/>
  <c r="B49" i="20"/>
  <c r="B48" i="20"/>
  <c r="B52" i="20"/>
  <c r="B51" i="20"/>
  <c r="B50" i="20"/>
  <c r="J72" i="2"/>
  <c r="F17" i="30"/>
  <c r="F30" i="30"/>
  <c r="F15" i="30"/>
  <c r="D32" i="4"/>
  <c r="E32" i="4" s="1"/>
  <c r="F20" i="30"/>
  <c r="F21" i="30"/>
  <c r="F31" i="30"/>
  <c r="F26" i="30"/>
  <c r="F25" i="30"/>
  <c r="J231" i="2"/>
  <c r="H48" i="12"/>
  <c r="F215" i="2" s="1"/>
  <c r="G215" i="2" s="1"/>
  <c r="H47" i="12"/>
  <c r="F242" i="2" s="1"/>
  <c r="H46" i="12"/>
  <c r="F213" i="2" s="1"/>
  <c r="G213" i="2" s="1"/>
  <c r="H45" i="12"/>
  <c r="G196" i="2" s="1"/>
  <c r="H44" i="12"/>
  <c r="F214" i="2" s="1"/>
  <c r="G214" i="2" s="1"/>
  <c r="J204" i="2"/>
  <c r="F17" i="33"/>
  <c r="F20" i="33"/>
  <c r="H49" i="12"/>
  <c r="G210" i="2" s="1"/>
  <c r="B36" i="37"/>
  <c r="C36" i="37" s="1"/>
  <c r="B35" i="37"/>
  <c r="C35" i="37" s="1"/>
  <c r="B36" i="41"/>
  <c r="B36" i="9"/>
  <c r="D36" i="9" s="1"/>
  <c r="C35" i="43"/>
  <c r="F36" i="12"/>
  <c r="N35" i="44" s="1"/>
  <c r="F38" i="5"/>
  <c r="J172" i="2"/>
  <c r="J279" i="2"/>
  <c r="F25" i="12"/>
  <c r="C36" i="43"/>
  <c r="J41" i="44" s="1"/>
  <c r="H39" i="1"/>
  <c r="C34" i="43"/>
  <c r="C33" i="43"/>
  <c r="H33" i="1"/>
  <c r="C31" i="43"/>
  <c r="B36" i="43"/>
  <c r="B35" i="43"/>
  <c r="B34" i="43"/>
  <c r="B33" i="43"/>
  <c r="B30" i="43"/>
  <c r="B29" i="43"/>
  <c r="B26" i="43"/>
  <c r="C26" i="43" s="1"/>
  <c r="B25" i="43"/>
  <c r="C25" i="43" s="1"/>
  <c r="B23" i="43"/>
  <c r="C23" i="43" s="1"/>
  <c r="J16" i="44" s="1"/>
  <c r="B22" i="43"/>
  <c r="C22" i="43" s="1"/>
  <c r="J13" i="44" s="1"/>
  <c r="B21" i="43"/>
  <c r="C21" i="43" s="1"/>
  <c r="J25" i="44" s="1"/>
  <c r="B20" i="43"/>
  <c r="C20" i="43" s="1"/>
  <c r="B19" i="43"/>
  <c r="C19" i="43" s="1"/>
  <c r="B18" i="43"/>
  <c r="C18" i="43" s="1"/>
  <c r="B17" i="43"/>
  <c r="C17" i="43" s="1"/>
  <c r="B16" i="43"/>
  <c r="C16" i="43" s="1"/>
  <c r="B15" i="43"/>
  <c r="C15" i="43" s="1"/>
  <c r="B14" i="43"/>
  <c r="C14" i="43" s="1"/>
  <c r="B13" i="43"/>
  <c r="C13" i="43" s="1"/>
  <c r="J23" i="44" s="1"/>
  <c r="J115" i="2"/>
  <c r="J112" i="2"/>
  <c r="J100" i="2"/>
  <c r="J50" i="2"/>
  <c r="J80" i="2"/>
  <c r="C12" i="6"/>
  <c r="C33" i="6"/>
  <c r="C41" i="6"/>
  <c r="D11" i="41"/>
  <c r="G12" i="1" s="1"/>
  <c r="D10" i="41"/>
  <c r="G11" i="1" s="1"/>
  <c r="D9" i="41"/>
  <c r="G10" i="1" s="1"/>
  <c r="C37" i="9"/>
  <c r="C34" i="9"/>
  <c r="D38" i="4"/>
  <c r="E38" i="4" s="1"/>
  <c r="J288" i="2"/>
  <c r="F21" i="21"/>
  <c r="Q26" i="1"/>
  <c r="S24" i="8"/>
  <c r="P17" i="44" s="1"/>
  <c r="I25" i="18"/>
  <c r="F25" i="5"/>
  <c r="J46" i="2"/>
  <c r="C39" i="4"/>
  <c r="D39" i="4" s="1"/>
  <c r="E39" i="4" s="1"/>
  <c r="J195" i="2"/>
  <c r="J198" i="2"/>
  <c r="J177" i="2"/>
  <c r="J194" i="2"/>
  <c r="J193" i="2"/>
  <c r="J13" i="2"/>
  <c r="J111" i="2"/>
  <c r="J202" i="2"/>
  <c r="J18" i="2"/>
  <c r="B50" i="12"/>
  <c r="C7" i="21"/>
  <c r="B46" i="5"/>
  <c r="F39" i="5"/>
  <c r="F37" i="5"/>
  <c r="F36" i="5"/>
  <c r="F32" i="5"/>
  <c r="F31" i="5"/>
  <c r="F27" i="5"/>
  <c r="F26" i="5"/>
  <c r="F24" i="5"/>
  <c r="F23" i="5"/>
  <c r="F22" i="5"/>
  <c r="F21" i="5"/>
  <c r="F19" i="5"/>
  <c r="F18" i="5"/>
  <c r="F17" i="5"/>
  <c r="F16" i="5"/>
  <c r="F15" i="5"/>
  <c r="F14" i="5"/>
  <c r="F20" i="5"/>
  <c r="E46" i="5"/>
  <c r="C28" i="5"/>
  <c r="C33" i="5"/>
  <c r="C40" i="5"/>
  <c r="C46" i="5"/>
  <c r="E33" i="5"/>
  <c r="E28" i="5"/>
  <c r="E40" i="5"/>
  <c r="B42" i="4"/>
  <c r="I9" i="18"/>
  <c r="O10" i="1" s="1"/>
  <c r="J222" i="2"/>
  <c r="J223" i="2"/>
  <c r="J224" i="2"/>
  <c r="J225" i="2"/>
  <c r="J226" i="2"/>
  <c r="J229" i="2"/>
  <c r="J230" i="2"/>
  <c r="J232" i="2"/>
  <c r="J234" i="2"/>
  <c r="J235" i="2"/>
  <c r="J236" i="2"/>
  <c r="J203" i="2"/>
  <c r="J93" i="2"/>
  <c r="D50" i="6"/>
  <c r="D280" i="2" s="1"/>
  <c r="G280" i="2" s="1"/>
  <c r="E50" i="6"/>
  <c r="J237" i="2"/>
  <c r="J192" i="2"/>
  <c r="E46" i="6"/>
  <c r="J161" i="2" s="1"/>
  <c r="D48" i="6"/>
  <c r="D158" i="2" s="1"/>
  <c r="G158" i="2" s="1"/>
  <c r="J158" i="2" s="1"/>
  <c r="E48" i="6"/>
  <c r="E56" i="6"/>
  <c r="E28" i="7"/>
  <c r="E10" i="20"/>
  <c r="I28" i="1" s="1"/>
  <c r="S41" i="8"/>
  <c r="C11" i="41"/>
  <c r="C10" i="41"/>
  <c r="C9" i="41"/>
  <c r="J99" i="2"/>
  <c r="J275" i="2"/>
  <c r="C23" i="21"/>
  <c r="C8" i="21"/>
  <c r="F7" i="21"/>
  <c r="Q15" i="1"/>
  <c r="Q29" i="1"/>
  <c r="Q27" i="1"/>
  <c r="Q25" i="1"/>
  <c r="Q24" i="1"/>
  <c r="Q23" i="1"/>
  <c r="Q22" i="1"/>
  <c r="Q21" i="1"/>
  <c r="Q20" i="1"/>
  <c r="Q19" i="1"/>
  <c r="Q18" i="1"/>
  <c r="Q16" i="1"/>
  <c r="Q12" i="1"/>
  <c r="Q11" i="1"/>
  <c r="J298" i="2"/>
  <c r="J44" i="2"/>
  <c r="J31" i="2"/>
  <c r="J266" i="2"/>
  <c r="J268" i="2"/>
  <c r="J269" i="2"/>
  <c r="J270" i="2"/>
  <c r="J271" i="2"/>
  <c r="J273" i="2"/>
  <c r="J274" i="2"/>
  <c r="J276" i="2"/>
  <c r="J277" i="2"/>
  <c r="J286" i="2"/>
  <c r="J287" i="2"/>
  <c r="J289" i="2"/>
  <c r="J58" i="2"/>
  <c r="J57" i="2"/>
  <c r="J56" i="2"/>
  <c r="B30" i="24"/>
  <c r="B31" i="14"/>
  <c r="B40" i="5"/>
  <c r="B33" i="5"/>
  <c r="B28" i="5"/>
  <c r="F19" i="30"/>
  <c r="I26" i="21"/>
  <c r="B26" i="21"/>
  <c r="F23" i="21"/>
  <c r="J143" i="2"/>
  <c r="J30" i="2"/>
  <c r="J17" i="2"/>
  <c r="R30" i="1"/>
  <c r="J30" i="1"/>
  <c r="B28" i="12"/>
  <c r="D32" i="37"/>
  <c r="D11" i="37"/>
  <c r="D10" i="37"/>
  <c r="D12" i="37" s="1"/>
  <c r="D36" i="4"/>
  <c r="E36" i="4" s="1"/>
  <c r="S10" i="8"/>
  <c r="L12" i="1" s="1"/>
  <c r="S9" i="8"/>
  <c r="L11" i="1" s="1"/>
  <c r="S8" i="8"/>
  <c r="L10" i="1" s="1"/>
  <c r="L13" i="1" s="1"/>
  <c r="M37" i="8"/>
  <c r="R37" i="8"/>
  <c r="Q37" i="8"/>
  <c r="P37" i="8"/>
  <c r="O37" i="8"/>
  <c r="N37" i="8"/>
  <c r="L37" i="8"/>
  <c r="K37" i="8"/>
  <c r="J37" i="8"/>
  <c r="I37" i="8"/>
  <c r="G37" i="8"/>
  <c r="E37" i="8"/>
  <c r="C37" i="8"/>
  <c r="B37" i="8"/>
  <c r="R31" i="8"/>
  <c r="Q31" i="8"/>
  <c r="P31" i="8"/>
  <c r="O31" i="8"/>
  <c r="N31" i="8"/>
  <c r="M31" i="8"/>
  <c r="L31" i="8"/>
  <c r="K31" i="8"/>
  <c r="J31" i="8"/>
  <c r="I31" i="8"/>
  <c r="E31" i="8"/>
  <c r="D31" i="8"/>
  <c r="C31" i="8"/>
  <c r="B31" i="8"/>
  <c r="R27" i="8"/>
  <c r="Q27" i="8"/>
  <c r="P27" i="8"/>
  <c r="N27" i="8"/>
  <c r="N43" i="8" s="1"/>
  <c r="B51" i="8" s="1"/>
  <c r="E51" i="8" s="1"/>
  <c r="M27" i="8"/>
  <c r="L27" i="8"/>
  <c r="K27" i="8"/>
  <c r="K43" i="8" s="1"/>
  <c r="I27" i="8"/>
  <c r="F27" i="8"/>
  <c r="E27" i="8"/>
  <c r="D27" i="8"/>
  <c r="B27" i="8"/>
  <c r="R11" i="8"/>
  <c r="Q11" i="8"/>
  <c r="P11" i="8"/>
  <c r="O11" i="8"/>
  <c r="N11" i="8"/>
  <c r="M11" i="8"/>
  <c r="L11" i="8"/>
  <c r="K11" i="8"/>
  <c r="J11" i="8"/>
  <c r="I11" i="8"/>
  <c r="H11" i="8"/>
  <c r="G11" i="8"/>
  <c r="F11" i="8"/>
  <c r="E11" i="8"/>
  <c r="D11" i="8"/>
  <c r="C11" i="8"/>
  <c r="B11" i="8"/>
  <c r="S19" i="8"/>
  <c r="P18" i="44" s="1"/>
  <c r="S13" i="8"/>
  <c r="P23" i="44" s="1"/>
  <c r="J76" i="2"/>
  <c r="J86" i="2"/>
  <c r="F22" i="21"/>
  <c r="F20" i="21"/>
  <c r="C19" i="21"/>
  <c r="F19" i="21" s="1"/>
  <c r="C18" i="21"/>
  <c r="F18" i="21"/>
  <c r="C17" i="21"/>
  <c r="F17" i="21"/>
  <c r="C16" i="21"/>
  <c r="F16" i="21" s="1"/>
  <c r="C15" i="21"/>
  <c r="F15" i="21" s="1"/>
  <c r="C14" i="21"/>
  <c r="F14" i="21" s="1"/>
  <c r="C13" i="21"/>
  <c r="F13" i="21" s="1"/>
  <c r="C11" i="21"/>
  <c r="F11" i="21" s="1"/>
  <c r="C10" i="21"/>
  <c r="F10" i="21" s="1"/>
  <c r="C9" i="21"/>
  <c r="F9" i="21" s="1"/>
  <c r="O15" i="1"/>
  <c r="F33" i="30"/>
  <c r="F34" i="30"/>
  <c r="E23" i="20"/>
  <c r="I36" i="1" s="1"/>
  <c r="F38" i="30"/>
  <c r="F39" i="30"/>
  <c r="F37" i="30"/>
  <c r="F36" i="30"/>
  <c r="F35" i="30"/>
  <c r="F32" i="30"/>
  <c r="F23" i="30"/>
  <c r="F22" i="30"/>
  <c r="F18" i="30"/>
  <c r="F12" i="30"/>
  <c r="F16" i="31"/>
  <c r="F15" i="31"/>
  <c r="F14" i="31"/>
  <c r="F13" i="31"/>
  <c r="F12" i="31"/>
  <c r="F11" i="31"/>
  <c r="F10" i="31"/>
  <c r="J183" i="2"/>
  <c r="B51" i="4"/>
  <c r="D51" i="4" s="1"/>
  <c r="E51" i="4" s="1"/>
  <c r="C51" i="4"/>
  <c r="B27" i="4"/>
  <c r="S36" i="8"/>
  <c r="P41" i="44" s="1"/>
  <c r="L39" i="1"/>
  <c r="J29" i="2"/>
  <c r="J64" i="2"/>
  <c r="F31" i="32"/>
  <c r="F10" i="32"/>
  <c r="F11" i="32"/>
  <c r="F12" i="32"/>
  <c r="F13" i="32"/>
  <c r="F14" i="32"/>
  <c r="F15" i="32"/>
  <c r="F16" i="32"/>
  <c r="F17" i="32"/>
  <c r="F18" i="32"/>
  <c r="F19" i="32"/>
  <c r="F20" i="32"/>
  <c r="F21" i="32"/>
  <c r="F22" i="32"/>
  <c r="F23" i="32"/>
  <c r="F24" i="32"/>
  <c r="F25" i="32"/>
  <c r="F26" i="32"/>
  <c r="F27" i="32"/>
  <c r="F28" i="32"/>
  <c r="F29" i="32"/>
  <c r="F30" i="32"/>
  <c r="F24" i="33"/>
  <c r="F18" i="33"/>
  <c r="F13" i="33"/>
  <c r="F12" i="33"/>
  <c r="F11" i="33"/>
  <c r="J169" i="2"/>
  <c r="J53" i="2"/>
  <c r="J90" i="2"/>
  <c r="F29" i="30"/>
  <c r="F28" i="30"/>
  <c r="F27" i="30"/>
  <c r="F24" i="30"/>
  <c r="F16" i="30"/>
  <c r="F14" i="30"/>
  <c r="F13" i="30"/>
  <c r="F11" i="30"/>
  <c r="F10" i="30"/>
  <c r="J249" i="2"/>
  <c r="J81" i="2"/>
  <c r="J147" i="2"/>
  <c r="J146" i="2"/>
  <c r="J145" i="2"/>
  <c r="J144" i="2"/>
  <c r="S29" i="8"/>
  <c r="P29" i="44" s="1"/>
  <c r="S26" i="8"/>
  <c r="P15" i="44" s="1"/>
  <c r="J309" i="2"/>
  <c r="G31" i="8"/>
  <c r="J168" i="2"/>
  <c r="J208" i="2"/>
  <c r="J207" i="2"/>
  <c r="J206" i="2"/>
  <c r="J263" i="2"/>
  <c r="J189" i="2"/>
  <c r="J136" i="2"/>
  <c r="J14" i="2"/>
  <c r="Q39" i="1"/>
  <c r="Q38" i="1"/>
  <c r="Q36" i="1"/>
  <c r="Q32" i="1"/>
  <c r="Q10" i="1"/>
  <c r="O27" i="8"/>
  <c r="J27" i="8"/>
  <c r="S30" i="8"/>
  <c r="P30" i="44" s="1"/>
  <c r="L33" i="1"/>
  <c r="H31" i="8"/>
  <c r="S22" i="8"/>
  <c r="P13" i="44" s="1"/>
  <c r="S21" i="8"/>
  <c r="P25" i="44" s="1"/>
  <c r="F37" i="8"/>
  <c r="D37" i="8"/>
  <c r="S18" i="8"/>
  <c r="P14" i="44" s="1"/>
  <c r="L20" i="1"/>
  <c r="S16" i="8"/>
  <c r="P22" i="44" s="1"/>
  <c r="B35" i="14"/>
  <c r="E26" i="33"/>
  <c r="F26" i="33" s="1"/>
  <c r="E32" i="32"/>
  <c r="C32" i="32"/>
  <c r="E17" i="31"/>
  <c r="E40" i="30"/>
  <c r="C40" i="30"/>
  <c r="J310" i="2"/>
  <c r="J200" i="2"/>
  <c r="J63" i="2"/>
  <c r="J79" i="2"/>
  <c r="J244" i="2"/>
  <c r="J140" i="2"/>
  <c r="J218" i="2"/>
  <c r="J148" i="2"/>
  <c r="J178" i="2"/>
  <c r="J77" i="2"/>
  <c r="J82" i="2"/>
  <c r="J89" i="2"/>
  <c r="J98" i="2"/>
  <c r="J104" i="2"/>
  <c r="J108" i="2"/>
  <c r="J119" i="2"/>
  <c r="J123" i="2"/>
  <c r="J124" i="2"/>
  <c r="J126" i="2"/>
  <c r="J134" i="2"/>
  <c r="J135" i="2"/>
  <c r="J137" i="2"/>
  <c r="J15" i="2"/>
  <c r="J16" i="2"/>
  <c r="J19" i="2"/>
  <c r="J20" i="2"/>
  <c r="J21" i="2"/>
  <c r="J26" i="2"/>
  <c r="J27" i="2"/>
  <c r="J28" i="2"/>
  <c r="J32" i="2"/>
  <c r="J33" i="2"/>
  <c r="J37" i="2"/>
  <c r="J40" i="2"/>
  <c r="J45" i="2"/>
  <c r="J51" i="2"/>
  <c r="J52" i="2"/>
  <c r="J54" i="2"/>
  <c r="J55" i="2"/>
  <c r="J65" i="2"/>
  <c r="J125" i="2"/>
  <c r="C28" i="18"/>
  <c r="F12" i="21"/>
  <c r="D61" i="6"/>
  <c r="D242" i="2" s="1"/>
  <c r="E61" i="6"/>
  <c r="B37" i="41"/>
  <c r="C37" i="41" s="1"/>
  <c r="D37" i="41" s="1"/>
  <c r="B34" i="41"/>
  <c r="C34" i="41" s="1"/>
  <c r="D34" i="41" s="1"/>
  <c r="B35" i="41"/>
  <c r="B15" i="41"/>
  <c r="C15" i="41" s="1"/>
  <c r="D15" i="41" s="1"/>
  <c r="B30" i="41"/>
  <c r="C30" i="41" s="1"/>
  <c r="D30" i="41" s="1"/>
  <c r="I29" i="44" s="1"/>
  <c r="B31" i="41"/>
  <c r="C31" i="41" s="1"/>
  <c r="D31" i="41" s="1"/>
  <c r="F46" i="5"/>
  <c r="E32" i="7"/>
  <c r="B36" i="7"/>
  <c r="D36" i="7" s="1"/>
  <c r="F36" i="7" s="1"/>
  <c r="E38" i="7"/>
  <c r="B14" i="24"/>
  <c r="B34" i="24"/>
  <c r="B40" i="24"/>
  <c r="J40" i="1"/>
  <c r="I10" i="18"/>
  <c r="O11" i="1" s="1"/>
  <c r="I11" i="18"/>
  <c r="O12" i="1" s="1"/>
  <c r="I16" i="18"/>
  <c r="O17" i="1" s="1"/>
  <c r="I17" i="18"/>
  <c r="O18" i="1"/>
  <c r="I18" i="18"/>
  <c r="O19" i="1" s="1"/>
  <c r="I19" i="18"/>
  <c r="O20" i="1" s="1"/>
  <c r="I20" i="18"/>
  <c r="O21" i="1" s="1"/>
  <c r="I22" i="18"/>
  <c r="O23" i="1" s="1"/>
  <c r="I23" i="18"/>
  <c r="O24" i="1" s="1"/>
  <c r="I24" i="18"/>
  <c r="O25" i="1" s="1"/>
  <c r="I21" i="18"/>
  <c r="O22" i="1" s="1"/>
  <c r="I26" i="18"/>
  <c r="O27" i="1"/>
  <c r="I27" i="18"/>
  <c r="O29" i="1" s="1"/>
  <c r="I30" i="18"/>
  <c r="O32" i="1"/>
  <c r="I31" i="18"/>
  <c r="O33" i="1"/>
  <c r="I34" i="18"/>
  <c r="O36" i="1"/>
  <c r="I35" i="18"/>
  <c r="O37" i="1" s="1"/>
  <c r="I36" i="18"/>
  <c r="O38" i="1"/>
  <c r="I37" i="18"/>
  <c r="O39" i="1" s="1"/>
  <c r="S14" i="8"/>
  <c r="P20" i="44" s="1"/>
  <c r="L16" i="1"/>
  <c r="S15" i="8"/>
  <c r="P12" i="44" s="1"/>
  <c r="S17" i="8"/>
  <c r="P24" i="44" s="1"/>
  <c r="S23" i="8"/>
  <c r="P16" i="44" s="1"/>
  <c r="L25" i="1"/>
  <c r="S20" i="8"/>
  <c r="P19" i="44" s="1"/>
  <c r="L22" i="1"/>
  <c r="S25" i="8"/>
  <c r="P21" i="44" s="1"/>
  <c r="S33" i="8"/>
  <c r="P38" i="44" s="1"/>
  <c r="E32" i="6"/>
  <c r="P33" i="1"/>
  <c r="D33" i="6"/>
  <c r="G11" i="12"/>
  <c r="G12" i="12" s="1"/>
  <c r="G9" i="12"/>
  <c r="F14" i="12"/>
  <c r="B31" i="12"/>
  <c r="C31" i="12" s="1"/>
  <c r="O30" i="44" s="1"/>
  <c r="O31" i="44" s="1"/>
  <c r="O46" i="44" s="1"/>
  <c r="B37" i="12"/>
  <c r="C37" i="12" s="1"/>
  <c r="O41" i="44" s="1"/>
  <c r="O43" i="44" s="1"/>
  <c r="R34" i="1"/>
  <c r="R40" i="1"/>
  <c r="D47" i="6"/>
  <c r="D85" i="2" s="1"/>
  <c r="G85" i="2" s="1"/>
  <c r="E47" i="6"/>
  <c r="J210" i="2"/>
  <c r="B12" i="12"/>
  <c r="D36" i="12"/>
  <c r="G36" i="12" s="1"/>
  <c r="C50" i="12"/>
  <c r="D50" i="12"/>
  <c r="F50" i="12"/>
  <c r="F52" i="12"/>
  <c r="J250" i="2"/>
  <c r="J251" i="2"/>
  <c r="J247" i="2"/>
  <c r="J246" i="2"/>
  <c r="J91" i="2"/>
  <c r="J92" i="2"/>
  <c r="J94" i="2"/>
  <c r="J95" i="2"/>
  <c r="J127" i="2"/>
  <c r="J149" i="2"/>
  <c r="J157" i="2"/>
  <c r="J163" i="2"/>
  <c r="J164" i="2"/>
  <c r="J165" i="2"/>
  <c r="J170" i="2"/>
  <c r="J171" i="2"/>
  <c r="J174" i="2"/>
  <c r="J180" i="2"/>
  <c r="J186" i="2"/>
  <c r="J187" i="2"/>
  <c r="J188" i="2"/>
  <c r="J216" i="2"/>
  <c r="J219" i="2"/>
  <c r="J220" i="2"/>
  <c r="J221" i="2"/>
  <c r="J245" i="2"/>
  <c r="J252" i="2"/>
  <c r="J253" i="2"/>
  <c r="J254" i="2"/>
  <c r="J258" i="2"/>
  <c r="J255" i="2"/>
  <c r="J257" i="2"/>
  <c r="J259" i="2"/>
  <c r="J260" i="2"/>
  <c r="J290" i="2"/>
  <c r="B15" i="14"/>
  <c r="B41" i="14"/>
  <c r="F24" i="21"/>
  <c r="D26" i="21"/>
  <c r="E26" i="21"/>
  <c r="B12" i="18"/>
  <c r="B40" i="18" s="1"/>
  <c r="C12" i="18"/>
  <c r="D12" i="18"/>
  <c r="D40" i="18" s="1"/>
  <c r="E12" i="18"/>
  <c r="F12" i="18"/>
  <c r="F40" i="18" s="1"/>
  <c r="G12" i="18"/>
  <c r="H12" i="18"/>
  <c r="H40" i="18" s="1"/>
  <c r="B28" i="18"/>
  <c r="E28" i="18"/>
  <c r="F28" i="18"/>
  <c r="G28" i="18"/>
  <c r="H28" i="18"/>
  <c r="B32" i="18"/>
  <c r="C32" i="18"/>
  <c r="D32" i="18"/>
  <c r="E32" i="18"/>
  <c r="F32" i="18"/>
  <c r="G32" i="18"/>
  <c r="H32" i="18"/>
  <c r="B38" i="18"/>
  <c r="C38" i="18"/>
  <c r="D38" i="18"/>
  <c r="E38" i="18"/>
  <c r="F38" i="18"/>
  <c r="G38" i="18"/>
  <c r="H38" i="18"/>
  <c r="C38" i="1"/>
  <c r="D35" i="44" s="1"/>
  <c r="S35" i="8"/>
  <c r="P35" i="44" s="1"/>
  <c r="D56" i="8"/>
  <c r="D12" i="6"/>
  <c r="D43" i="6" s="1"/>
  <c r="D41" i="6"/>
  <c r="F34" i="12"/>
  <c r="F37" i="12"/>
  <c r="F22" i="12"/>
  <c r="C17" i="31"/>
  <c r="D28" i="18"/>
  <c r="I15" i="18"/>
  <c r="O16" i="1"/>
  <c r="G10" i="12"/>
  <c r="F26" i="12"/>
  <c r="F17" i="12"/>
  <c r="F27" i="12"/>
  <c r="F16" i="12"/>
  <c r="F19" i="12"/>
  <c r="B17" i="41"/>
  <c r="F18" i="12"/>
  <c r="F31" i="12"/>
  <c r="F24" i="12"/>
  <c r="F23" i="12"/>
  <c r="F35" i="12"/>
  <c r="F30" i="12"/>
  <c r="F21" i="12"/>
  <c r="E50" i="12"/>
  <c r="B9" i="41"/>
  <c r="J243" i="2"/>
  <c r="G50" i="12"/>
  <c r="C63" i="6"/>
  <c r="H18" i="21"/>
  <c r="B23" i="41"/>
  <c r="C23" i="41" s="1"/>
  <c r="D23" i="41"/>
  <c r="H19" i="21"/>
  <c r="B11" i="41"/>
  <c r="D17" i="12"/>
  <c r="E17" i="12" s="1"/>
  <c r="H17" i="21"/>
  <c r="B22" i="41"/>
  <c r="C22" i="41" s="1"/>
  <c r="D22" i="41" s="1"/>
  <c r="H13" i="21"/>
  <c r="B10" i="41"/>
  <c r="G27" i="8"/>
  <c r="H24" i="21"/>
  <c r="B27" i="41"/>
  <c r="C27" i="41" s="1"/>
  <c r="D27" i="41"/>
  <c r="H12" i="21"/>
  <c r="B18" i="41"/>
  <c r="B17" i="7"/>
  <c r="D17" i="7" s="1"/>
  <c r="F17" i="7" s="1"/>
  <c r="C18" i="1"/>
  <c r="D22" i="44" s="1"/>
  <c r="H22" i="21"/>
  <c r="B26" i="41"/>
  <c r="C26" i="41" s="1"/>
  <c r="D26" i="41" s="1"/>
  <c r="H20" i="21"/>
  <c r="B24" i="41"/>
  <c r="H15" i="21"/>
  <c r="B20" i="41"/>
  <c r="C20" i="41" s="1"/>
  <c r="D20" i="41" s="1"/>
  <c r="H14" i="21"/>
  <c r="B19" i="41"/>
  <c r="H16" i="21"/>
  <c r="B21" i="41"/>
  <c r="C21" i="41" s="1"/>
  <c r="D21" i="41" s="1"/>
  <c r="H10" i="21"/>
  <c r="B16" i="41"/>
  <c r="C16" i="41" s="1"/>
  <c r="D16" i="41" s="1"/>
  <c r="H7" i="21"/>
  <c r="D9" i="12"/>
  <c r="E9" i="12"/>
  <c r="B9" i="9"/>
  <c r="D9" i="9" s="1"/>
  <c r="F10" i="1" s="1"/>
  <c r="B9" i="7"/>
  <c r="H9" i="21"/>
  <c r="C16" i="1"/>
  <c r="D20" i="44" s="1"/>
  <c r="H37" i="8"/>
  <c r="H27" i="8"/>
  <c r="F15" i="12"/>
  <c r="D57" i="4"/>
  <c r="E57" i="4" s="1"/>
  <c r="F31" i="8"/>
  <c r="F39" i="8" s="1"/>
  <c r="S34" i="8"/>
  <c r="P34" i="44" s="1"/>
  <c r="P43" i="44" s="1"/>
  <c r="C27" i="8"/>
  <c r="C43" i="8" s="1"/>
  <c r="H11" i="21"/>
  <c r="F20" i="12"/>
  <c r="D15" i="12"/>
  <c r="G15" i="12" s="1"/>
  <c r="B15" i="7"/>
  <c r="D15" i="7" s="1"/>
  <c r="F15" i="7" s="1"/>
  <c r="B15" i="9"/>
  <c r="B35" i="7"/>
  <c r="D35" i="7" s="1"/>
  <c r="F35" i="7" s="1"/>
  <c r="C37" i="1"/>
  <c r="D34" i="44" s="1"/>
  <c r="D35" i="12"/>
  <c r="E35" i="12" s="1"/>
  <c r="B35" i="9"/>
  <c r="D35" i="9" s="1"/>
  <c r="J297" i="2"/>
  <c r="B37" i="9"/>
  <c r="D37" i="9" s="1"/>
  <c r="B37" i="37"/>
  <c r="C37" i="37" s="1"/>
  <c r="E41" i="44" s="1"/>
  <c r="B37" i="7"/>
  <c r="D37" i="7" s="1"/>
  <c r="F37" i="7" s="1"/>
  <c r="D37" i="12"/>
  <c r="C39" i="1"/>
  <c r="D41" i="44" s="1"/>
  <c r="C36" i="1"/>
  <c r="D38" i="44" s="1"/>
  <c r="B34" i="37"/>
  <c r="C34" i="37" s="1"/>
  <c r="E38" i="44" s="1"/>
  <c r="B34" i="7"/>
  <c r="D34" i="7" s="1"/>
  <c r="F34" i="7" s="1"/>
  <c r="G38" i="44" s="1"/>
  <c r="D34" i="12"/>
  <c r="E34" i="12" s="1"/>
  <c r="N38" i="44" s="1"/>
  <c r="B34" i="9"/>
  <c r="B27" i="37"/>
  <c r="B27" i="9"/>
  <c r="C29" i="1"/>
  <c r="D15" i="44" s="1"/>
  <c r="D27" i="12"/>
  <c r="B27" i="7"/>
  <c r="D27" i="7" s="1"/>
  <c r="F27" i="7" s="1"/>
  <c r="D31" i="12"/>
  <c r="G31" i="12" s="1"/>
  <c r="B31" i="37"/>
  <c r="C31" i="37" s="1"/>
  <c r="C33" i="1"/>
  <c r="D30" i="44" s="1"/>
  <c r="B31" i="9"/>
  <c r="D31" i="9" s="1"/>
  <c r="H30" i="44" s="1"/>
  <c r="B31" i="7"/>
  <c r="D31" i="7" s="1"/>
  <c r="F31" i="7" s="1"/>
  <c r="B26" i="37"/>
  <c r="C27" i="1"/>
  <c r="D21" i="44" s="1"/>
  <c r="B26" i="7"/>
  <c r="D26" i="7" s="1"/>
  <c r="F26" i="7" s="1"/>
  <c r="D26" i="12"/>
  <c r="G26" i="12" s="1"/>
  <c r="B26" i="9"/>
  <c r="C22" i="1"/>
  <c r="D19" i="44" s="1"/>
  <c r="D21" i="12"/>
  <c r="E21" i="12" s="1"/>
  <c r="B21" i="9"/>
  <c r="B21" i="37"/>
  <c r="B21" i="7"/>
  <c r="D21" i="7" s="1"/>
  <c r="F21" i="7" s="1"/>
  <c r="C32" i="1"/>
  <c r="D29" i="44" s="1"/>
  <c r="D30" i="12"/>
  <c r="E30" i="12" s="1"/>
  <c r="B30" i="7"/>
  <c r="D30" i="7" s="1"/>
  <c r="B30" i="37"/>
  <c r="B30" i="9"/>
  <c r="D30" i="9" s="1"/>
  <c r="B24" i="7"/>
  <c r="D24" i="7" s="1"/>
  <c r="F24" i="7" s="1"/>
  <c r="D24" i="12"/>
  <c r="E24" i="12" s="1"/>
  <c r="C25" i="1"/>
  <c r="D16" i="44" s="1"/>
  <c r="B24" i="37"/>
  <c r="B24" i="9"/>
  <c r="C24" i="9" s="1"/>
  <c r="D24" i="9" s="1"/>
  <c r="B23" i="37"/>
  <c r="C24" i="1"/>
  <c r="D13" i="44" s="1"/>
  <c r="B23" i="7"/>
  <c r="D23" i="7" s="1"/>
  <c r="F23" i="7" s="1"/>
  <c r="D23" i="12"/>
  <c r="E23" i="12" s="1"/>
  <c r="B23" i="9"/>
  <c r="B22" i="7"/>
  <c r="D22" i="7" s="1"/>
  <c r="F22" i="7" s="1"/>
  <c r="C23" i="1"/>
  <c r="D25" i="44" s="1"/>
  <c r="D22" i="12"/>
  <c r="G22" i="12" s="1"/>
  <c r="B22" i="37"/>
  <c r="B22" i="9"/>
  <c r="D20" i="12"/>
  <c r="E20" i="12" s="1"/>
  <c r="B20" i="37"/>
  <c r="B20" i="7"/>
  <c r="D20" i="7" s="1"/>
  <c r="F20" i="7" s="1"/>
  <c r="C21" i="1"/>
  <c r="D18" i="44" s="1"/>
  <c r="B20" i="9"/>
  <c r="B19" i="37"/>
  <c r="B19" i="7"/>
  <c r="D19" i="7" s="1"/>
  <c r="F19" i="7" s="1"/>
  <c r="C20" i="1"/>
  <c r="D14" i="44" s="1"/>
  <c r="B19" i="9"/>
  <c r="D19" i="12"/>
  <c r="E19" i="12" s="1"/>
  <c r="C19" i="1"/>
  <c r="D24" i="44" s="1"/>
  <c r="B18" i="9"/>
  <c r="B18" i="37"/>
  <c r="B18" i="7"/>
  <c r="D18" i="7" s="1"/>
  <c r="F18" i="7" s="1"/>
  <c r="D18" i="12"/>
  <c r="E18" i="12" s="1"/>
  <c r="B17" i="9"/>
  <c r="B17" i="37"/>
  <c r="C17" i="1"/>
  <c r="D12" i="44" s="1"/>
  <c r="B16" i="37"/>
  <c r="B16" i="9"/>
  <c r="C16" i="9" s="1"/>
  <c r="B16" i="7"/>
  <c r="D16" i="7" s="1"/>
  <c r="F16" i="7" s="1"/>
  <c r="D16" i="12"/>
  <c r="G16" i="12" s="1"/>
  <c r="B15" i="37"/>
  <c r="B11" i="9"/>
  <c r="D11" i="9" s="1"/>
  <c r="F12" i="1" s="1"/>
  <c r="D11" i="12"/>
  <c r="E11" i="12" s="1"/>
  <c r="B11" i="37"/>
  <c r="B11" i="7"/>
  <c r="D11" i="7" s="1"/>
  <c r="F11" i="7" s="1"/>
  <c r="E12" i="1" s="1"/>
  <c r="B10" i="37"/>
  <c r="B10" i="7"/>
  <c r="D10" i="7" s="1"/>
  <c r="F10" i="7" s="1"/>
  <c r="E11" i="1" s="1"/>
  <c r="D10" i="12"/>
  <c r="E10" i="12" s="1"/>
  <c r="B10" i="9"/>
  <c r="D10" i="9" s="1"/>
  <c r="F11" i="1" s="1"/>
  <c r="B9" i="37"/>
  <c r="C9" i="37" s="1"/>
  <c r="I315" i="2"/>
  <c r="D37" i="4"/>
  <c r="E37" i="4" s="1"/>
  <c r="D35" i="4"/>
  <c r="E35" i="4" s="1"/>
  <c r="H8" i="21"/>
  <c r="B14" i="41"/>
  <c r="D14" i="12"/>
  <c r="E14" i="12" s="1"/>
  <c r="B14" i="7"/>
  <c r="D14" i="7" s="1"/>
  <c r="F14" i="7" s="1"/>
  <c r="B14" i="37"/>
  <c r="B14" i="9"/>
  <c r="C15" i="1"/>
  <c r="D23" i="44" s="1"/>
  <c r="J291" i="2"/>
  <c r="E12" i="7"/>
  <c r="E40" i="7" s="1"/>
  <c r="E10" i="6"/>
  <c r="P11" i="1" s="1"/>
  <c r="E15" i="6"/>
  <c r="P16" i="1"/>
  <c r="E16" i="6"/>
  <c r="P17" i="1"/>
  <c r="E18" i="6"/>
  <c r="P19" i="1"/>
  <c r="E22" i="6"/>
  <c r="P23" i="1"/>
  <c r="E36" i="6"/>
  <c r="E49" i="6"/>
  <c r="E40" i="6"/>
  <c r="P39" i="1"/>
  <c r="E28" i="6"/>
  <c r="P29" i="1"/>
  <c r="E38" i="6"/>
  <c r="P38" i="1" s="1"/>
  <c r="E26" i="6"/>
  <c r="P27" i="1"/>
  <c r="E21" i="6"/>
  <c r="P22" i="1"/>
  <c r="E24" i="6"/>
  <c r="P25" i="1"/>
  <c r="E60" i="6"/>
  <c r="E52" i="6"/>
  <c r="E11" i="6"/>
  <c r="P12" i="1" s="1"/>
  <c r="E37" i="6"/>
  <c r="P37" i="1" s="1"/>
  <c r="E23" i="6"/>
  <c r="P24" i="1"/>
  <c r="E35" i="6"/>
  <c r="E41" i="6" s="1"/>
  <c r="P36" i="1"/>
  <c r="E53" i="6"/>
  <c r="E19" i="6"/>
  <c r="P20" i="1"/>
  <c r="E20" i="6"/>
  <c r="P21" i="1"/>
  <c r="E58" i="6"/>
  <c r="E27" i="6"/>
  <c r="P28" i="1" s="1"/>
  <c r="E59" i="6"/>
  <c r="J156" i="2"/>
  <c r="E14" i="6"/>
  <c r="P15" i="1"/>
  <c r="E25" i="6"/>
  <c r="P26" i="1"/>
  <c r="E51" i="6"/>
  <c r="E62" i="6"/>
  <c r="E55" i="6"/>
  <c r="E57" i="6"/>
  <c r="E17" i="6"/>
  <c r="P18" i="1"/>
  <c r="E9" i="6"/>
  <c r="P10" i="1" s="1"/>
  <c r="E54" i="6"/>
  <c r="E45" i="6"/>
  <c r="J118" i="2"/>
  <c r="E31" i="6"/>
  <c r="P32" i="1"/>
  <c r="J152" i="2"/>
  <c r="J280" i="2"/>
  <c r="L32" i="1"/>
  <c r="G40" i="18"/>
  <c r="I32" i="18"/>
  <c r="J49" i="2"/>
  <c r="J78" i="2"/>
  <c r="G19" i="12"/>
  <c r="B32" i="12"/>
  <c r="C28" i="12"/>
  <c r="C12" i="12"/>
  <c r="C43" i="6"/>
  <c r="C65" i="6" s="1"/>
  <c r="E33" i="6"/>
  <c r="D63" i="6"/>
  <c r="C37" i="43"/>
  <c r="H32" i="1"/>
  <c r="C32" i="12"/>
  <c r="C38" i="12"/>
  <c r="B38" i="12"/>
  <c r="B40" i="12" s="1"/>
  <c r="B52" i="12" s="1"/>
  <c r="G23" i="12"/>
  <c r="G30" i="12"/>
  <c r="E15" i="12"/>
  <c r="G34" i="12"/>
  <c r="E37" i="12"/>
  <c r="G37" i="12"/>
  <c r="B32" i="37"/>
  <c r="C30" i="37"/>
  <c r="E26" i="12"/>
  <c r="C26" i="21" l="1"/>
  <c r="I10" i="30"/>
  <c r="G242" i="2"/>
  <c r="G315" i="2" s="1"/>
  <c r="F32" i="32"/>
  <c r="I28" i="18"/>
  <c r="C40" i="18"/>
  <c r="O39" i="8"/>
  <c r="Q39" i="8"/>
  <c r="B39" i="8"/>
  <c r="M39" i="8"/>
  <c r="K39" i="8"/>
  <c r="N39" i="8"/>
  <c r="Q43" i="8"/>
  <c r="B54" i="8" s="1"/>
  <c r="E54" i="8" s="1"/>
  <c r="D39" i="8"/>
  <c r="L39" i="8"/>
  <c r="P39" i="8"/>
  <c r="I39" i="8"/>
  <c r="S31" i="8"/>
  <c r="G39" i="8"/>
  <c r="R39" i="8"/>
  <c r="O43" i="8"/>
  <c r="B52" i="8" s="1"/>
  <c r="E52" i="8" s="1"/>
  <c r="P43" i="8"/>
  <c r="B53" i="8" s="1"/>
  <c r="E53" i="8" s="1"/>
  <c r="L24" i="1"/>
  <c r="E43" i="8"/>
  <c r="M43" i="8"/>
  <c r="B50" i="8" s="1"/>
  <c r="E50" i="8" s="1"/>
  <c r="L26" i="1"/>
  <c r="I43" i="8"/>
  <c r="S11" i="8"/>
  <c r="H43" i="8"/>
  <c r="L18" i="1"/>
  <c r="L21" i="1"/>
  <c r="J43" i="8"/>
  <c r="B48" i="8" s="1"/>
  <c r="E48" i="8" s="1"/>
  <c r="S27" i="8"/>
  <c r="G35" i="12"/>
  <c r="F40" i="5"/>
  <c r="H26" i="12"/>
  <c r="K27" i="1" s="1"/>
  <c r="G24" i="12"/>
  <c r="G17" i="12"/>
  <c r="G27" i="1"/>
  <c r="I21" i="44"/>
  <c r="N29" i="44"/>
  <c r="E32" i="12"/>
  <c r="N21" i="44"/>
  <c r="E19" i="1"/>
  <c r="G24" i="44"/>
  <c r="G33" i="1"/>
  <c r="I30" i="44"/>
  <c r="B32" i="7"/>
  <c r="E17" i="1"/>
  <c r="G12" i="44"/>
  <c r="G32" i="12"/>
  <c r="E23" i="1"/>
  <c r="G25" i="44"/>
  <c r="E18" i="1"/>
  <c r="G22" i="44"/>
  <c r="I38" i="18"/>
  <c r="G43" i="8"/>
  <c r="D31" i="44"/>
  <c r="F37" i="1"/>
  <c r="H34" i="44"/>
  <c r="G23" i="1"/>
  <c r="I25" i="44"/>
  <c r="N34" i="44"/>
  <c r="P13" i="1"/>
  <c r="H11" i="12"/>
  <c r="K12" i="1" s="1"/>
  <c r="N18" i="44"/>
  <c r="N13" i="44"/>
  <c r="E25" i="1"/>
  <c r="G16" i="44"/>
  <c r="D43" i="44"/>
  <c r="G22" i="1"/>
  <c r="I19" i="44"/>
  <c r="G29" i="1"/>
  <c r="I15" i="44"/>
  <c r="H17" i="12"/>
  <c r="K18" i="1" s="1"/>
  <c r="N22" i="44"/>
  <c r="E38" i="1"/>
  <c r="G35" i="44"/>
  <c r="G39" i="1"/>
  <c r="I41" i="44"/>
  <c r="S28" i="1"/>
  <c r="H17" i="1"/>
  <c r="J12" i="44"/>
  <c r="E16" i="1"/>
  <c r="G20" i="44"/>
  <c r="C32" i="37"/>
  <c r="E29" i="44"/>
  <c r="J39" i="8"/>
  <c r="E63" i="6"/>
  <c r="E27" i="1"/>
  <c r="G21" i="44"/>
  <c r="R43" i="8"/>
  <c r="B55" i="8" s="1"/>
  <c r="E55" i="8" s="1"/>
  <c r="H39" i="8"/>
  <c r="E31" i="12"/>
  <c r="N30" i="44" s="1"/>
  <c r="S37" i="8"/>
  <c r="G14" i="12"/>
  <c r="N23" i="44" s="1"/>
  <c r="F43" i="8"/>
  <c r="F8" i="21"/>
  <c r="F26" i="21" s="1"/>
  <c r="E15" i="1"/>
  <c r="G23" i="44"/>
  <c r="E24" i="1"/>
  <c r="G13" i="44"/>
  <c r="F32" i="1"/>
  <c r="H29" i="44"/>
  <c r="H31" i="44" s="1"/>
  <c r="E33" i="1"/>
  <c r="G30" i="44"/>
  <c r="E37" i="1"/>
  <c r="G34" i="44"/>
  <c r="L43" i="8"/>
  <c r="B49" i="8" s="1"/>
  <c r="E49" i="8" s="1"/>
  <c r="L27" i="1"/>
  <c r="L17" i="1"/>
  <c r="D43" i="8"/>
  <c r="P31" i="44"/>
  <c r="H18" i="1"/>
  <c r="J22" i="44"/>
  <c r="H27" i="1"/>
  <c r="J21" i="44"/>
  <c r="H15" i="1"/>
  <c r="E39" i="8"/>
  <c r="G21" i="1"/>
  <c r="I18" i="44"/>
  <c r="G16" i="1"/>
  <c r="I20" i="44"/>
  <c r="C39" i="8"/>
  <c r="D32" i="12"/>
  <c r="E12" i="6"/>
  <c r="E43" i="6" s="1"/>
  <c r="E21" i="1"/>
  <c r="G18" i="44"/>
  <c r="E29" i="1"/>
  <c r="G15" i="44"/>
  <c r="G17" i="1"/>
  <c r="I12" i="44"/>
  <c r="H37" i="12"/>
  <c r="K39" i="1" s="1"/>
  <c r="N41" i="44"/>
  <c r="N20" i="44"/>
  <c r="E29" i="6"/>
  <c r="E20" i="1"/>
  <c r="G14" i="44"/>
  <c r="E39" i="1"/>
  <c r="G41" i="44"/>
  <c r="E40" i="18"/>
  <c r="I12" i="18"/>
  <c r="I40" i="18" s="1"/>
  <c r="J85" i="2"/>
  <c r="P26" i="44"/>
  <c r="H19" i="1"/>
  <c r="J24" i="44"/>
  <c r="H29" i="1"/>
  <c r="J15" i="44"/>
  <c r="H23" i="1"/>
  <c r="H24" i="1"/>
  <c r="H19" i="12"/>
  <c r="K20" i="1" s="1"/>
  <c r="N14" i="44"/>
  <c r="G24" i="1"/>
  <c r="I13" i="44"/>
  <c r="H20" i="1"/>
  <c r="J14" i="44"/>
  <c r="H25" i="1"/>
  <c r="H38" i="1"/>
  <c r="J35" i="44"/>
  <c r="L38" i="1"/>
  <c r="F25" i="1"/>
  <c r="H16" i="44"/>
  <c r="E31" i="37"/>
  <c r="D33" i="1" s="1"/>
  <c r="E30" i="44"/>
  <c r="F39" i="1"/>
  <c r="H41" i="44"/>
  <c r="L37" i="1"/>
  <c r="L40" i="1" s="1"/>
  <c r="I31" i="44"/>
  <c r="L23" i="1"/>
  <c r="B43" i="8"/>
  <c r="H21" i="1"/>
  <c r="J18" i="44"/>
  <c r="F38" i="1"/>
  <c r="H35" i="44"/>
  <c r="H22" i="1"/>
  <c r="J19" i="44"/>
  <c r="H36" i="1"/>
  <c r="J38" i="44"/>
  <c r="E35" i="37"/>
  <c r="D37" i="1" s="1"/>
  <c r="E34" i="44"/>
  <c r="N16" i="44"/>
  <c r="E22" i="1"/>
  <c r="G19" i="44"/>
  <c r="G27" i="12"/>
  <c r="L36" i="1"/>
  <c r="L19" i="1"/>
  <c r="G36" i="1"/>
  <c r="I38" i="44"/>
  <c r="L29" i="1"/>
  <c r="L15" i="1"/>
  <c r="O13" i="1"/>
  <c r="C42" i="5"/>
  <c r="C48" i="5" s="1"/>
  <c r="F33" i="5"/>
  <c r="H16" i="1"/>
  <c r="J20" i="44"/>
  <c r="B37" i="43"/>
  <c r="H37" i="1"/>
  <c r="J34" i="44"/>
  <c r="J43" i="44" s="1"/>
  <c r="E36" i="37"/>
  <c r="D38" i="1" s="1"/>
  <c r="E35" i="44"/>
  <c r="B45" i="4"/>
  <c r="B54" i="4" s="1"/>
  <c r="B60" i="4" s="1"/>
  <c r="C53" i="20"/>
  <c r="C55" i="20" s="1"/>
  <c r="D50" i="20" s="1"/>
  <c r="E50" i="20" s="1"/>
  <c r="F50" i="20" s="1"/>
  <c r="D29" i="20" s="1"/>
  <c r="Q13" i="1"/>
  <c r="D38" i="12"/>
  <c r="B38" i="41"/>
  <c r="E36" i="12"/>
  <c r="E38" i="12" s="1"/>
  <c r="B38" i="37"/>
  <c r="B38" i="9"/>
  <c r="H35" i="12"/>
  <c r="K37" i="1" s="1"/>
  <c r="E42" i="5"/>
  <c r="E48" i="5" s="1"/>
  <c r="D32" i="41"/>
  <c r="B31" i="43"/>
  <c r="B32" i="9"/>
  <c r="E22" i="12"/>
  <c r="G20" i="12"/>
  <c r="H20" i="12" s="1"/>
  <c r="K21" i="1" s="1"/>
  <c r="G18" i="12"/>
  <c r="H18" i="12" s="1"/>
  <c r="K19" i="1" s="1"/>
  <c r="E16" i="12"/>
  <c r="F28" i="5"/>
  <c r="F42" i="5" s="1"/>
  <c r="F48" i="5" s="1"/>
  <c r="B12" i="41"/>
  <c r="B25" i="37"/>
  <c r="D25" i="37" s="1"/>
  <c r="F17" i="44" s="1"/>
  <c r="C26" i="1"/>
  <c r="L34" i="1"/>
  <c r="I30" i="1"/>
  <c r="J256" i="2"/>
  <c r="I11" i="30"/>
  <c r="F40" i="30"/>
  <c r="B40" i="27"/>
  <c r="B56" i="27"/>
  <c r="D65" i="6"/>
  <c r="B43" i="14"/>
  <c r="I10" i="14" s="1"/>
  <c r="C40" i="14" s="1"/>
  <c r="B42" i="24"/>
  <c r="C17" i="41"/>
  <c r="D17" i="41" s="1"/>
  <c r="C19" i="41"/>
  <c r="D19" i="41" s="1"/>
  <c r="D12" i="41"/>
  <c r="B32" i="41"/>
  <c r="C35" i="41"/>
  <c r="D35" i="41" s="1"/>
  <c r="I34" i="44" s="1"/>
  <c r="C36" i="41"/>
  <c r="D36" i="41" s="1"/>
  <c r="C14" i="41"/>
  <c r="D14" i="41" s="1"/>
  <c r="C24" i="41"/>
  <c r="D24" i="41" s="1"/>
  <c r="C18" i="41"/>
  <c r="D18" i="41" s="1"/>
  <c r="G13" i="1"/>
  <c r="G32" i="1"/>
  <c r="G34" i="1" s="1"/>
  <c r="C19" i="37"/>
  <c r="E14" i="44" s="1"/>
  <c r="D19" i="37"/>
  <c r="F14" i="44" s="1"/>
  <c r="C26" i="37"/>
  <c r="E21" i="44" s="1"/>
  <c r="D26" i="37"/>
  <c r="F21" i="44" s="1"/>
  <c r="D14" i="37"/>
  <c r="F23" i="44" s="1"/>
  <c r="C14" i="37"/>
  <c r="E23" i="44" s="1"/>
  <c r="C18" i="37"/>
  <c r="D18" i="37"/>
  <c r="F24" i="44" s="1"/>
  <c r="D23" i="37"/>
  <c r="F13" i="44" s="1"/>
  <c r="C23" i="37"/>
  <c r="C10" i="37"/>
  <c r="C16" i="37"/>
  <c r="E12" i="44" s="1"/>
  <c r="D16" i="37"/>
  <c r="F12" i="44" s="1"/>
  <c r="D24" i="37"/>
  <c r="F16" i="44" s="1"/>
  <c r="C24" i="37"/>
  <c r="E16" i="44" s="1"/>
  <c r="C27" i="37"/>
  <c r="E15" i="44" s="1"/>
  <c r="D27" i="37"/>
  <c r="F15" i="44" s="1"/>
  <c r="C11" i="37"/>
  <c r="E11" i="37" s="1"/>
  <c r="D12" i="1" s="1"/>
  <c r="D20" i="37"/>
  <c r="F18" i="44" s="1"/>
  <c r="C20" i="37"/>
  <c r="D17" i="37"/>
  <c r="F22" i="44" s="1"/>
  <c r="C17" i="37"/>
  <c r="E22" i="44" s="1"/>
  <c r="C21" i="37"/>
  <c r="E19" i="44" s="1"/>
  <c r="D21" i="37"/>
  <c r="F19" i="44" s="1"/>
  <c r="D15" i="37"/>
  <c r="F20" i="44" s="1"/>
  <c r="C15" i="37"/>
  <c r="E20" i="44" s="1"/>
  <c r="D22" i="37"/>
  <c r="C22" i="37"/>
  <c r="E25" i="44" s="1"/>
  <c r="B38" i="7"/>
  <c r="D32" i="7"/>
  <c r="C19" i="9"/>
  <c r="D19" i="9" s="1"/>
  <c r="C27" i="9"/>
  <c r="D27" i="9" s="1"/>
  <c r="D16" i="9"/>
  <c r="C18" i="9"/>
  <c r="D18" i="9" s="1"/>
  <c r="C20" i="9"/>
  <c r="D20" i="9" s="1"/>
  <c r="C21" i="9"/>
  <c r="D21" i="9" s="1"/>
  <c r="C15" i="9"/>
  <c r="D15" i="9" s="1"/>
  <c r="C23" i="9"/>
  <c r="D23" i="9" s="1"/>
  <c r="C14" i="9"/>
  <c r="D14" i="9" s="1"/>
  <c r="C17" i="9"/>
  <c r="D17" i="9" s="1"/>
  <c r="C22" i="9"/>
  <c r="D22" i="9" s="1"/>
  <c r="C26" i="9"/>
  <c r="D26" i="9" s="1"/>
  <c r="B42" i="5"/>
  <c r="B48" i="5" s="1"/>
  <c r="H34" i="12"/>
  <c r="K36" i="1" s="1"/>
  <c r="E27" i="12"/>
  <c r="H14" i="12"/>
  <c r="K15" i="1" s="1"/>
  <c r="G21" i="12"/>
  <c r="H21" i="12" s="1"/>
  <c r="K22" i="1" s="1"/>
  <c r="H23" i="12"/>
  <c r="K24" i="1" s="1"/>
  <c r="H24" i="12"/>
  <c r="K25" i="1" s="1"/>
  <c r="B12" i="37"/>
  <c r="H15" i="12"/>
  <c r="K16" i="1" s="1"/>
  <c r="B12" i="7"/>
  <c r="B12" i="9"/>
  <c r="E12" i="12"/>
  <c r="F13" i="1"/>
  <c r="D12" i="12"/>
  <c r="D9" i="7"/>
  <c r="F9" i="7" s="1"/>
  <c r="E10" i="1" s="1"/>
  <c r="H9" i="12"/>
  <c r="K10" i="1" s="1"/>
  <c r="H10" i="12"/>
  <c r="K11" i="1" s="1"/>
  <c r="J42" i="1"/>
  <c r="J45" i="1" s="1"/>
  <c r="C14" i="4" s="1"/>
  <c r="D14" i="4" s="1"/>
  <c r="E14" i="4" s="1"/>
  <c r="R42" i="1"/>
  <c r="R45" i="1" s="1"/>
  <c r="J213" i="2"/>
  <c r="C56" i="27"/>
  <c r="J214" i="2"/>
  <c r="C40" i="27"/>
  <c r="Q37" i="1"/>
  <c r="Q40" i="1" s="1"/>
  <c r="C34" i="27"/>
  <c r="Q33" i="1"/>
  <c r="Q34" i="1" s="1"/>
  <c r="B34" i="27"/>
  <c r="C14" i="27"/>
  <c r="Q17" i="1"/>
  <c r="Q30" i="1" s="1"/>
  <c r="C30" i="27"/>
  <c r="B30" i="27"/>
  <c r="D30" i="4"/>
  <c r="E30" i="4" s="1"/>
  <c r="J60" i="2"/>
  <c r="D31" i="4"/>
  <c r="E31" i="4" s="1"/>
  <c r="J22" i="2"/>
  <c r="B34" i="1"/>
  <c r="P34" i="1"/>
  <c r="B40" i="1"/>
  <c r="J196" i="2"/>
  <c r="E315" i="2"/>
  <c r="D315" i="2"/>
  <c r="C33" i="4" s="1"/>
  <c r="D34" i="4"/>
  <c r="E34" i="4" s="1"/>
  <c r="C40" i="12"/>
  <c r="C52" i="12" s="1"/>
  <c r="J215" i="2"/>
  <c r="F315" i="2"/>
  <c r="H50" i="12"/>
  <c r="H30" i="12"/>
  <c r="K32" i="1" s="1"/>
  <c r="G38" i="12"/>
  <c r="H31" i="12"/>
  <c r="K33" i="1" s="1"/>
  <c r="D12" i="9"/>
  <c r="F33" i="1"/>
  <c r="D32" i="9"/>
  <c r="D34" i="9"/>
  <c r="D38" i="37"/>
  <c r="E37" i="37"/>
  <c r="D39" i="1" s="1"/>
  <c r="E30" i="37"/>
  <c r="C38" i="37"/>
  <c r="E34" i="37"/>
  <c r="E9" i="37"/>
  <c r="D10" i="1" s="1"/>
  <c r="O40" i="1"/>
  <c r="D38" i="7"/>
  <c r="E36" i="1"/>
  <c r="E40" i="1" s="1"/>
  <c r="F38" i="7"/>
  <c r="F30" i="7"/>
  <c r="G29" i="44" s="1"/>
  <c r="P40" i="1"/>
  <c r="B25" i="41"/>
  <c r="C25" i="41" s="1"/>
  <c r="B25" i="9"/>
  <c r="C25" i="9" s="1"/>
  <c r="O34" i="1"/>
  <c r="O30" i="1"/>
  <c r="D25" i="12"/>
  <c r="B25" i="7"/>
  <c r="H40" i="1"/>
  <c r="B24" i="43"/>
  <c r="H21" i="21"/>
  <c r="H26" i="21" s="1"/>
  <c r="P30" i="1"/>
  <c r="H34" i="1"/>
  <c r="C34" i="1"/>
  <c r="B30" i="1"/>
  <c r="C40" i="1"/>
  <c r="C40" i="4"/>
  <c r="D40" i="4" s="1"/>
  <c r="E40" i="4" s="1"/>
  <c r="J313" i="2"/>
  <c r="J69" i="2"/>
  <c r="J9" i="2"/>
  <c r="I12" i="30"/>
  <c r="F17" i="31"/>
  <c r="I13" i="30" l="1"/>
  <c r="E65" i="6"/>
  <c r="J242" i="2"/>
  <c r="P46" i="44"/>
  <c r="L30" i="1"/>
  <c r="L42" i="1" s="1"/>
  <c r="L45" i="1" s="1"/>
  <c r="S39" i="8"/>
  <c r="S43" i="8"/>
  <c r="E43" i="44"/>
  <c r="F34" i="1"/>
  <c r="N24" i="44"/>
  <c r="E16" i="37"/>
  <c r="D17" i="1" s="1"/>
  <c r="H22" i="12"/>
  <c r="K23" i="1" s="1"/>
  <c r="N25" i="44"/>
  <c r="G31" i="44"/>
  <c r="H36" i="12"/>
  <c r="K38" i="1" s="1"/>
  <c r="K40" i="1" s="1"/>
  <c r="F24" i="1"/>
  <c r="H13" i="44"/>
  <c r="G19" i="1"/>
  <c r="I24" i="44"/>
  <c r="G18" i="1"/>
  <c r="I22" i="44"/>
  <c r="N31" i="44"/>
  <c r="F18" i="1"/>
  <c r="H22" i="44"/>
  <c r="H27" i="12"/>
  <c r="K29" i="1" s="1"/>
  <c r="N15" i="44"/>
  <c r="F16" i="1"/>
  <c r="H20" i="44"/>
  <c r="G25" i="1"/>
  <c r="I16" i="44"/>
  <c r="E31" i="44"/>
  <c r="N43" i="44"/>
  <c r="F20" i="1"/>
  <c r="H14" i="44"/>
  <c r="E18" i="37"/>
  <c r="D19" i="1" s="1"/>
  <c r="E24" i="44"/>
  <c r="F22" i="1"/>
  <c r="H19" i="44"/>
  <c r="E20" i="37"/>
  <c r="D21" i="1" s="1"/>
  <c r="E18" i="44"/>
  <c r="G15" i="1"/>
  <c r="I23" i="44"/>
  <c r="N39" i="1"/>
  <c r="S41" i="44"/>
  <c r="F29" i="1"/>
  <c r="H15" i="44"/>
  <c r="C30" i="1"/>
  <c r="C42" i="1" s="1"/>
  <c r="C45" i="1" s="1"/>
  <c r="C10" i="4" s="1"/>
  <c r="D17" i="44"/>
  <c r="D26" i="44" s="1"/>
  <c r="D46" i="44" s="1"/>
  <c r="F21" i="1"/>
  <c r="H18" i="44"/>
  <c r="E22" i="37"/>
  <c r="D23" i="1" s="1"/>
  <c r="F25" i="44"/>
  <c r="F26" i="44" s="1"/>
  <c r="F46" i="44" s="1"/>
  <c r="G38" i="1"/>
  <c r="I35" i="44"/>
  <c r="I43" i="44" s="1"/>
  <c r="H16" i="12"/>
  <c r="K17" i="1" s="1"/>
  <c r="N12" i="44"/>
  <c r="N26" i="44" s="1"/>
  <c r="N46" i="44" s="1"/>
  <c r="E30" i="20"/>
  <c r="I37" i="1" s="1"/>
  <c r="F15" i="1"/>
  <c r="H23" i="44"/>
  <c r="F36" i="1"/>
  <c r="F40" i="1" s="1"/>
  <c r="H38" i="44"/>
  <c r="H43" i="44" s="1"/>
  <c r="F27" i="1"/>
  <c r="H21" i="44"/>
  <c r="F19" i="1"/>
  <c r="H24" i="44"/>
  <c r="E23" i="37"/>
  <c r="D24" i="1" s="1"/>
  <c r="E13" i="44"/>
  <c r="B47" i="8"/>
  <c r="N19" i="44"/>
  <c r="G43" i="44"/>
  <c r="G20" i="1"/>
  <c r="I14" i="44"/>
  <c r="F23" i="1"/>
  <c r="H25" i="44"/>
  <c r="F17" i="1"/>
  <c r="H12" i="44"/>
  <c r="D49" i="20"/>
  <c r="E49" i="20" s="1"/>
  <c r="F49" i="20" s="1"/>
  <c r="D16" i="20" s="1"/>
  <c r="E17" i="20" s="1"/>
  <c r="D48" i="20"/>
  <c r="E48" i="20" s="1"/>
  <c r="F48" i="20" s="1"/>
  <c r="K29" i="44" s="1"/>
  <c r="D51" i="20"/>
  <c r="E51" i="20" s="1"/>
  <c r="F51" i="20" s="1"/>
  <c r="K35" i="44" s="1"/>
  <c r="D52" i="20"/>
  <c r="E52" i="20" s="1"/>
  <c r="F52" i="20" s="1"/>
  <c r="K41" i="44" s="1"/>
  <c r="K34" i="44"/>
  <c r="D56" i="27"/>
  <c r="D40" i="27"/>
  <c r="H9" i="24"/>
  <c r="E27" i="37"/>
  <c r="D29" i="1" s="1"/>
  <c r="B28" i="37"/>
  <c r="B40" i="37" s="1"/>
  <c r="E24" i="37"/>
  <c r="D25" i="1" s="1"/>
  <c r="E21" i="37"/>
  <c r="D22" i="1" s="1"/>
  <c r="E19" i="37"/>
  <c r="D20" i="1" s="1"/>
  <c r="E17" i="37"/>
  <c r="D18" i="1" s="1"/>
  <c r="E15" i="37"/>
  <c r="D16" i="1" s="1"/>
  <c r="E14" i="37"/>
  <c r="D15" i="1" s="1"/>
  <c r="C12" i="37"/>
  <c r="C25" i="37"/>
  <c r="E17" i="44" s="1"/>
  <c r="B27" i="43"/>
  <c r="B39" i="43" s="1"/>
  <c r="C24" i="43"/>
  <c r="J17" i="44" s="1"/>
  <c r="J26" i="44" s="1"/>
  <c r="J46" i="44" s="1"/>
  <c r="C24" i="4"/>
  <c r="D24" i="4" s="1"/>
  <c r="E24" i="4" s="1"/>
  <c r="K13" i="1"/>
  <c r="D14" i="27"/>
  <c r="D34" i="27"/>
  <c r="D30" i="27"/>
  <c r="B42" i="27"/>
  <c r="B58" i="27" s="1"/>
  <c r="C29" i="14"/>
  <c r="C26" i="14"/>
  <c r="C14" i="14"/>
  <c r="N12" i="1" s="1"/>
  <c r="C39" i="14"/>
  <c r="C27" i="14"/>
  <c r="C20" i="14"/>
  <c r="C25" i="14"/>
  <c r="C13" i="14"/>
  <c r="N11" i="1" s="1"/>
  <c r="C23" i="14"/>
  <c r="C19" i="14"/>
  <c r="C28" i="14"/>
  <c r="C30" i="14"/>
  <c r="C24" i="14"/>
  <c r="C38" i="14"/>
  <c r="C12" i="14"/>
  <c r="N10" i="1" s="1"/>
  <c r="C18" i="14"/>
  <c r="C21" i="14"/>
  <c r="C34" i="14"/>
  <c r="C22" i="14"/>
  <c r="C17" i="14"/>
  <c r="C33" i="14"/>
  <c r="C37" i="14"/>
  <c r="S38" i="44" s="1"/>
  <c r="D38" i="41"/>
  <c r="G37" i="1"/>
  <c r="G40" i="1" s="1"/>
  <c r="D28" i="37"/>
  <c r="D40" i="37" s="1"/>
  <c r="E10" i="37"/>
  <c r="D11" i="1" s="1"/>
  <c r="D13" i="1" s="1"/>
  <c r="E26" i="37"/>
  <c r="D27" i="1" s="1"/>
  <c r="D32" i="1"/>
  <c r="D34" i="1" s="1"/>
  <c r="B42" i="1"/>
  <c r="B45" i="1" s="1"/>
  <c r="E13" i="1"/>
  <c r="H12" i="12"/>
  <c r="D12" i="7"/>
  <c r="F12" i="7"/>
  <c r="Q42" i="1"/>
  <c r="Q45" i="1" s="1"/>
  <c r="C22" i="4" s="1"/>
  <c r="O42" i="1"/>
  <c r="O45" i="1" s="1"/>
  <c r="C15" i="4" s="1"/>
  <c r="D15" i="4" s="1"/>
  <c r="E15" i="4" s="1"/>
  <c r="P42" i="1"/>
  <c r="P45" i="1" s="1"/>
  <c r="B28" i="9"/>
  <c r="B40" i="9" s="1"/>
  <c r="D25" i="9"/>
  <c r="C42" i="27"/>
  <c r="C58" i="27" s="1"/>
  <c r="B28" i="41"/>
  <c r="B42" i="41" s="1"/>
  <c r="D25" i="41"/>
  <c r="I17" i="44" s="1"/>
  <c r="D33" i="4"/>
  <c r="E33" i="4" s="1"/>
  <c r="K34" i="1"/>
  <c r="H32" i="12"/>
  <c r="D38" i="9"/>
  <c r="E32" i="37"/>
  <c r="E38" i="37"/>
  <c r="D36" i="1"/>
  <c r="E12" i="37"/>
  <c r="E32" i="1"/>
  <c r="F32" i="7"/>
  <c r="D25" i="7"/>
  <c r="B28" i="7"/>
  <c r="B40" i="7" s="1"/>
  <c r="C28" i="37"/>
  <c r="E25" i="37"/>
  <c r="G25" i="12"/>
  <c r="G28" i="12" s="1"/>
  <c r="G40" i="12" s="1"/>
  <c r="G52" i="12" s="1"/>
  <c r="E25" i="12"/>
  <c r="N17" i="44" s="1"/>
  <c r="D28" i="12"/>
  <c r="D40" i="12" s="1"/>
  <c r="D52" i="12" s="1"/>
  <c r="J10" i="2"/>
  <c r="J315" i="2" s="1"/>
  <c r="H38" i="12" l="1"/>
  <c r="K30" i="44"/>
  <c r="K43" i="44"/>
  <c r="E26" i="44"/>
  <c r="E46" i="44" s="1"/>
  <c r="I26" i="44"/>
  <c r="I46" i="44" s="1"/>
  <c r="N22" i="1"/>
  <c r="S19" i="44"/>
  <c r="N25" i="1"/>
  <c r="S16" i="44"/>
  <c r="N23" i="1"/>
  <c r="S25" i="44"/>
  <c r="N18" i="1"/>
  <c r="S22" i="44"/>
  <c r="N29" i="1"/>
  <c r="S15" i="44"/>
  <c r="N38" i="1"/>
  <c r="S35" i="44"/>
  <c r="C40" i="37"/>
  <c r="D28" i="9"/>
  <c r="D40" i="9" s="1"/>
  <c r="H17" i="44"/>
  <c r="H26" i="44" s="1"/>
  <c r="H46" i="44" s="1"/>
  <c r="N33" i="1"/>
  <c r="N34" i="1" s="1"/>
  <c r="S30" i="44"/>
  <c r="N17" i="1"/>
  <c r="S12" i="44"/>
  <c r="N24" i="1"/>
  <c r="S13" i="44"/>
  <c r="N32" i="1"/>
  <c r="S29" i="44"/>
  <c r="N15" i="1"/>
  <c r="S23" i="44"/>
  <c r="N20" i="1"/>
  <c r="S14" i="44"/>
  <c r="N26" i="1"/>
  <c r="S17" i="44"/>
  <c r="N19" i="1"/>
  <c r="S24" i="44"/>
  <c r="N21" i="1"/>
  <c r="S18" i="44"/>
  <c r="N27" i="1"/>
  <c r="S21" i="44"/>
  <c r="D35" i="20"/>
  <c r="N37" i="1"/>
  <c r="S34" i="44"/>
  <c r="E47" i="8"/>
  <c r="E56" i="8" s="1"/>
  <c r="B56" i="8"/>
  <c r="N16" i="1"/>
  <c r="S20" i="44"/>
  <c r="D42" i="20"/>
  <c r="I33" i="1"/>
  <c r="K31" i="44"/>
  <c r="C26" i="24"/>
  <c r="C13" i="24"/>
  <c r="M12" i="1" s="1"/>
  <c r="S12" i="1" s="1"/>
  <c r="C17" i="24"/>
  <c r="C11" i="24"/>
  <c r="C16" i="24"/>
  <c r="R23" i="44" s="1"/>
  <c r="C23" i="24"/>
  <c r="C21" i="24"/>
  <c r="C19" i="24"/>
  <c r="C33" i="24"/>
  <c r="C32" i="24"/>
  <c r="R29" i="44" s="1"/>
  <c r="C22" i="24"/>
  <c r="C37" i="24"/>
  <c r="C36" i="24"/>
  <c r="R38" i="44" s="1"/>
  <c r="T38" i="44" s="1"/>
  <c r="C27" i="24"/>
  <c r="C18" i="24"/>
  <c r="C24" i="24"/>
  <c r="C20" i="24"/>
  <c r="C28" i="24"/>
  <c r="C39" i="24"/>
  <c r="C25" i="24"/>
  <c r="C38" i="24"/>
  <c r="C29" i="24"/>
  <c r="C12" i="24"/>
  <c r="M11" i="1" s="1"/>
  <c r="S11" i="1" s="1"/>
  <c r="C41" i="14"/>
  <c r="C16" i="4"/>
  <c r="D16" i="4" s="1"/>
  <c r="E16" i="4" s="1"/>
  <c r="H26" i="1"/>
  <c r="H30" i="1" s="1"/>
  <c r="H42" i="1" s="1"/>
  <c r="H45" i="1" s="1"/>
  <c r="C27" i="43"/>
  <c r="C39" i="43" s="1"/>
  <c r="C21" i="4"/>
  <c r="D21" i="4" s="1"/>
  <c r="E21" i="4" s="1"/>
  <c r="D42" i="27"/>
  <c r="D58" i="27"/>
  <c r="N13" i="1"/>
  <c r="C15" i="14"/>
  <c r="N36" i="1"/>
  <c r="C31" i="14"/>
  <c r="C35" i="14"/>
  <c r="D13" i="20"/>
  <c r="E14" i="20" s="1"/>
  <c r="D22" i="4"/>
  <c r="E22" i="4" s="1"/>
  <c r="G26" i="1"/>
  <c r="G30" i="1" s="1"/>
  <c r="D28" i="41"/>
  <c r="D42" i="41" s="1"/>
  <c r="D42" i="4"/>
  <c r="C42" i="4"/>
  <c r="D40" i="1"/>
  <c r="E34" i="1"/>
  <c r="E28" i="12"/>
  <c r="E40" i="12" s="1"/>
  <c r="E52" i="12" s="1"/>
  <c r="H25" i="12"/>
  <c r="F26" i="1"/>
  <c r="F30" i="1" s="1"/>
  <c r="D26" i="1"/>
  <c r="D30" i="1" s="1"/>
  <c r="E28" i="37"/>
  <c r="E40" i="37" s="1"/>
  <c r="F25" i="7"/>
  <c r="G17" i="44" s="1"/>
  <c r="G26" i="44" s="1"/>
  <c r="G46" i="44" s="1"/>
  <c r="D28" i="7"/>
  <c r="D40" i="7" s="1"/>
  <c r="T23" i="44" l="1"/>
  <c r="S43" i="44"/>
  <c r="N30" i="1"/>
  <c r="S31" i="44"/>
  <c r="E43" i="20"/>
  <c r="I38" i="1" s="1"/>
  <c r="S26" i="44"/>
  <c r="N40" i="1"/>
  <c r="E36" i="20"/>
  <c r="M26" i="1"/>
  <c r="R17" i="44"/>
  <c r="T17" i="44" s="1"/>
  <c r="M37" i="1"/>
  <c r="S37" i="1" s="1"/>
  <c r="R34" i="44"/>
  <c r="M39" i="1"/>
  <c r="R41" i="44"/>
  <c r="T41" i="44" s="1"/>
  <c r="M21" i="1"/>
  <c r="S21" i="1" s="1"/>
  <c r="R18" i="44"/>
  <c r="T18" i="44" s="1"/>
  <c r="M16" i="1"/>
  <c r="S16" i="1" s="1"/>
  <c r="R20" i="44"/>
  <c r="T20" i="44" s="1"/>
  <c r="M25" i="1"/>
  <c r="S25" i="1" s="1"/>
  <c r="R16" i="44"/>
  <c r="T16" i="44" s="1"/>
  <c r="M29" i="1"/>
  <c r="S29" i="1" s="1"/>
  <c r="R15" i="44"/>
  <c r="T15" i="44" s="1"/>
  <c r="M22" i="1"/>
  <c r="S22" i="1" s="1"/>
  <c r="R19" i="44"/>
  <c r="T19" i="44" s="1"/>
  <c r="M38" i="1"/>
  <c r="R35" i="44"/>
  <c r="T35" i="44" s="1"/>
  <c r="M24" i="1"/>
  <c r="S24" i="1" s="1"/>
  <c r="R13" i="44"/>
  <c r="T13" i="44" s="1"/>
  <c r="M27" i="1"/>
  <c r="S27" i="1" s="1"/>
  <c r="R21" i="44"/>
  <c r="T21" i="44" s="1"/>
  <c r="M19" i="1"/>
  <c r="S19" i="1" s="1"/>
  <c r="R24" i="44"/>
  <c r="T24" i="44" s="1"/>
  <c r="M33" i="1"/>
  <c r="S33" i="1" s="1"/>
  <c r="R30" i="44"/>
  <c r="T30" i="44" s="1"/>
  <c r="M23" i="1"/>
  <c r="S23" i="1" s="1"/>
  <c r="R25" i="44"/>
  <c r="T25" i="44" s="1"/>
  <c r="M18" i="1"/>
  <c r="S18" i="1" s="1"/>
  <c r="R22" i="44"/>
  <c r="T22" i="44" s="1"/>
  <c r="M17" i="1"/>
  <c r="S17" i="1" s="1"/>
  <c r="R12" i="44"/>
  <c r="M20" i="1"/>
  <c r="S20" i="1" s="1"/>
  <c r="R14" i="44"/>
  <c r="T14" i="44" s="1"/>
  <c r="T29" i="44"/>
  <c r="K46" i="44"/>
  <c r="M36" i="1"/>
  <c r="C40" i="24"/>
  <c r="M15" i="1"/>
  <c r="C30" i="24"/>
  <c r="M10" i="1"/>
  <c r="C14" i="24"/>
  <c r="M32" i="1"/>
  <c r="C34" i="24"/>
  <c r="C11" i="4"/>
  <c r="D11" i="4" s="1"/>
  <c r="E11" i="4" s="1"/>
  <c r="C43" i="14"/>
  <c r="I42" i="14" s="1"/>
  <c r="I32" i="1"/>
  <c r="G42" i="1"/>
  <c r="G45" i="1" s="1"/>
  <c r="D42" i="1"/>
  <c r="D45" i="1" s="1"/>
  <c r="F42" i="1"/>
  <c r="F45" i="1" s="1"/>
  <c r="E42" i="4"/>
  <c r="K26" i="1"/>
  <c r="K30" i="1" s="1"/>
  <c r="H28" i="12"/>
  <c r="H40" i="12" s="1"/>
  <c r="H52" i="12" s="1"/>
  <c r="E26" i="1"/>
  <c r="F28" i="7"/>
  <c r="F40" i="7" s="1"/>
  <c r="D10" i="4"/>
  <c r="S46" i="44" l="1"/>
  <c r="N42" i="1"/>
  <c r="N45" i="1" s="1"/>
  <c r="C25" i="4" s="1"/>
  <c r="D25" i="4" s="1"/>
  <c r="E25" i="4" s="1"/>
  <c r="R31" i="44"/>
  <c r="S38" i="1"/>
  <c r="E45" i="20"/>
  <c r="I39" i="1"/>
  <c r="S39" i="1"/>
  <c r="M40" i="1"/>
  <c r="T31" i="44"/>
  <c r="M34" i="1"/>
  <c r="I40" i="1"/>
  <c r="R43" i="44"/>
  <c r="T34" i="44"/>
  <c r="T43" i="44" s="1"/>
  <c r="R26" i="44"/>
  <c r="T12" i="44"/>
  <c r="T26" i="44" s="1"/>
  <c r="S36" i="1"/>
  <c r="C42" i="24"/>
  <c r="C46" i="24" s="1"/>
  <c r="I46" i="24" s="1"/>
  <c r="M13" i="1"/>
  <c r="S10" i="1"/>
  <c r="S13" i="1" s="1"/>
  <c r="S15" i="1"/>
  <c r="M30" i="1"/>
  <c r="C20" i="4"/>
  <c r="D20" i="4" s="1"/>
  <c r="E20" i="4" s="1"/>
  <c r="C19" i="4"/>
  <c r="D19" i="4" s="1"/>
  <c r="E19" i="4" s="1"/>
  <c r="C17" i="4"/>
  <c r="D17" i="4" s="1"/>
  <c r="E17" i="4" s="1"/>
  <c r="I34" i="1"/>
  <c r="S32" i="1"/>
  <c r="S34" i="1" s="1"/>
  <c r="K42" i="1"/>
  <c r="K45" i="1" s="1"/>
  <c r="E30" i="1"/>
  <c r="E42" i="1" s="1"/>
  <c r="E45" i="1" s="1"/>
  <c r="C12" i="4" s="1"/>
  <c r="S26" i="1"/>
  <c r="E10" i="4"/>
  <c r="S40" i="1" l="1"/>
  <c r="I42" i="1"/>
  <c r="I45" i="1" s="1"/>
  <c r="C13" i="4" s="1"/>
  <c r="D13" i="4" s="1"/>
  <c r="E13" i="4" s="1"/>
  <c r="S30" i="1"/>
  <c r="R46" i="44"/>
  <c r="T46" i="44" s="1"/>
  <c r="M42" i="1"/>
  <c r="M45" i="1" s="1"/>
  <c r="C18" i="4" s="1"/>
  <c r="D18" i="4" s="1"/>
  <c r="E18" i="4" s="1"/>
  <c r="C23" i="4"/>
  <c r="D23" i="4" s="1"/>
  <c r="E23" i="4" s="1"/>
  <c r="S42" i="1" l="1"/>
  <c r="S45" i="1"/>
  <c r="D12" i="4"/>
  <c r="C27" i="4"/>
  <c r="C45" i="4" l="1"/>
  <c r="C54" i="4" s="1"/>
  <c r="E12" i="4"/>
  <c r="D27" i="4"/>
  <c r="E27" i="4" l="1"/>
  <c r="D45" i="4"/>
  <c r="E45" i="4" s="1"/>
  <c r="C60" i="4"/>
  <c r="D60" i="4" s="1"/>
  <c r="E60" i="4" s="1"/>
  <c r="D54" i="4"/>
  <c r="E54" i="4" s="1"/>
  <c r="D30" i="45" l="1"/>
</calcChain>
</file>

<file path=xl/comments1.xml><?xml version="1.0" encoding="utf-8"?>
<comments xmlns="http://schemas.openxmlformats.org/spreadsheetml/2006/main">
  <authors>
    <author>Sandi Kinnear</author>
  </authors>
  <commentList>
    <comment ref="A2" authorId="0" shapeId="0">
      <text>
        <r>
          <rPr>
            <b/>
            <sz val="9"/>
            <color indexed="81"/>
            <rFont val="Tahoma"/>
            <charset val="1"/>
          </rPr>
          <t>Sandi Kinnear:</t>
        </r>
        <r>
          <rPr>
            <sz val="9"/>
            <color indexed="81"/>
            <rFont val="Tahoma"/>
            <charset val="1"/>
          </rPr>
          <t xml:space="preserve">
FY19 update 3/27/18
</t>
        </r>
      </text>
    </comment>
  </commentList>
</comments>
</file>

<file path=xl/comments10.xml><?xml version="1.0" encoding="utf-8"?>
<comments xmlns="http://schemas.openxmlformats.org/spreadsheetml/2006/main">
  <authors>
    <author>Sandi Kinnear</author>
  </authors>
  <commentList>
    <comment ref="A2" authorId="0" shapeId="0">
      <text>
        <r>
          <rPr>
            <b/>
            <sz val="9"/>
            <color indexed="81"/>
            <rFont val="Tahoma"/>
            <charset val="1"/>
          </rPr>
          <t>Sandi Kinnear:</t>
        </r>
        <r>
          <rPr>
            <sz val="9"/>
            <color indexed="81"/>
            <rFont val="Tahoma"/>
            <charset val="1"/>
          </rPr>
          <t xml:space="preserve">
FY19 updated 3/27/18</t>
        </r>
      </text>
    </comment>
  </commentList>
</comments>
</file>

<file path=xl/comments11.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2.xml><?xml version="1.0" encoding="utf-8"?>
<comments xmlns="http://schemas.openxmlformats.org/spreadsheetml/2006/main">
  <authors>
    <author>Sandi Kinnear</author>
  </authors>
  <commentList>
    <comment ref="A3" authorId="0" shapeId="0">
      <text>
        <r>
          <rPr>
            <b/>
            <sz val="9"/>
            <color indexed="81"/>
            <rFont val="Tahoma"/>
            <charset val="1"/>
          </rPr>
          <t>Sandi Kinnear:
FY19 update 3/27/18</t>
        </r>
      </text>
    </comment>
  </commentList>
</comments>
</file>

<file path=xl/comments13.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4.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updated 3/27/18</t>
        </r>
      </text>
    </comment>
  </commentList>
</comments>
</file>

<file path=xl/comments15.xml><?xml version="1.0" encoding="utf-8"?>
<comments xmlns="http://schemas.openxmlformats.org/spreadsheetml/2006/main">
  <authors>
    <author>Sandi Kinnear</author>
  </authors>
  <commentList>
    <comment ref="A2" authorId="0" shapeId="0">
      <text>
        <r>
          <rPr>
            <b/>
            <sz val="9"/>
            <color indexed="81"/>
            <rFont val="Tahoma"/>
            <charset val="1"/>
          </rPr>
          <t>Sandi Kinnear:
FY19 update 3/27/18</t>
        </r>
      </text>
    </comment>
  </commentList>
</comments>
</file>

<file path=xl/comments16.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7.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8.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9.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2.xml><?xml version="1.0" encoding="utf-8"?>
<comments xmlns="http://schemas.openxmlformats.org/spreadsheetml/2006/main">
  <authors>
    <author>Sandi Kinnear</author>
  </authors>
  <commentList>
    <comment ref="A3" authorId="0" shapeId="0">
      <text>
        <r>
          <rPr>
            <b/>
            <sz val="9"/>
            <color indexed="81"/>
            <rFont val="Tahoma"/>
            <family val="2"/>
          </rPr>
          <t>Sandi Kinnear:</t>
        </r>
        <r>
          <rPr>
            <sz val="9"/>
            <color indexed="81"/>
            <rFont val="Tahoma"/>
            <family val="2"/>
          </rPr>
          <t xml:space="preserve">
FY19 update 3/27/18
</t>
        </r>
      </text>
    </comment>
  </commentList>
</comments>
</file>

<file path=xl/comments20.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21.xml><?xml version="1.0" encoding="utf-8"?>
<comments xmlns="http://schemas.openxmlformats.org/spreadsheetml/2006/main">
  <authors>
    <author>Sandi Kinnear</author>
  </authors>
  <commentList>
    <comment ref="A3" authorId="0" shapeId="0">
      <text>
        <r>
          <rPr>
            <b/>
            <sz val="9"/>
            <color indexed="81"/>
            <rFont val="Tahoma"/>
            <family val="2"/>
          </rPr>
          <t>Sandi Kinnear:</t>
        </r>
        <r>
          <rPr>
            <sz val="9"/>
            <color indexed="81"/>
            <rFont val="Tahoma"/>
            <family val="2"/>
          </rPr>
          <t xml:space="preserve">
FY19 update 3/27/18
</t>
        </r>
      </text>
    </comment>
  </commentList>
</comments>
</file>

<file path=xl/comments3.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4.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5.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6.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7.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8.xml><?xml version="1.0" encoding="utf-8"?>
<comments xmlns="http://schemas.openxmlformats.org/spreadsheetml/2006/main">
  <authors>
    <author>Sandi Kinnear</author>
  </authors>
  <commentList>
    <comment ref="A2" authorId="0" shapeId="0">
      <text>
        <r>
          <rPr>
            <b/>
            <sz val="9"/>
            <color indexed="81"/>
            <rFont val="Tahoma"/>
            <charset val="1"/>
          </rPr>
          <t>Sandi Kinnear:</t>
        </r>
        <r>
          <rPr>
            <sz val="9"/>
            <color indexed="81"/>
            <rFont val="Tahoma"/>
            <charset val="1"/>
          </rPr>
          <t xml:space="preserve">
FY19 updated 3/27/18</t>
        </r>
      </text>
    </comment>
  </commentList>
</comments>
</file>

<file path=xl/comments9.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sharedStrings.xml><?xml version="1.0" encoding="utf-8"?>
<sst xmlns="http://schemas.openxmlformats.org/spreadsheetml/2006/main" count="2522" uniqueCount="1322">
  <si>
    <t>Instruction Fees</t>
  </si>
  <si>
    <t>Climate Survey</t>
  </si>
  <si>
    <t xml:space="preserve">   Miscellaneous School Allocations</t>
  </si>
  <si>
    <t>Routine Maintenance:</t>
  </si>
  <si>
    <t>Objects</t>
  </si>
  <si>
    <t>SPECIAL</t>
  </si>
  <si>
    <t>Library/</t>
  </si>
  <si>
    <t>Security</t>
  </si>
  <si>
    <t>GENERAL</t>
  </si>
  <si>
    <t>School</t>
  </si>
  <si>
    <t>Prj</t>
  </si>
  <si>
    <t>Per</t>
  </si>
  <si>
    <t>03000-</t>
  </si>
  <si>
    <t>Capital</t>
  </si>
  <si>
    <t>Activities</t>
  </si>
  <si>
    <t>PROGRAMS</t>
  </si>
  <si>
    <t>Media</t>
  </si>
  <si>
    <t>Admin</t>
  </si>
  <si>
    <t>Utilities</t>
  </si>
  <si>
    <t>Custodial</t>
  </si>
  <si>
    <t>Alarms</t>
  </si>
  <si>
    <t>FUND</t>
  </si>
  <si>
    <t>Stu.</t>
  </si>
  <si>
    <t>Student</t>
  </si>
  <si>
    <t>Phone</t>
  </si>
  <si>
    <t>Equipment</t>
  </si>
  <si>
    <t>Total</t>
  </si>
  <si>
    <t>14X0</t>
  </si>
  <si>
    <t>2222/2223</t>
  </si>
  <si>
    <t>TOTAL</t>
  </si>
  <si>
    <t>4-J</t>
  </si>
  <si>
    <t>n/a</t>
  </si>
  <si>
    <t>Little Powder</t>
  </si>
  <si>
    <t>Recluse</t>
  </si>
  <si>
    <t>Total Rural</t>
  </si>
  <si>
    <t>Conestoga</t>
  </si>
  <si>
    <t>Cottonwood</t>
  </si>
  <si>
    <t>Hillcrest</t>
  </si>
  <si>
    <t>Lakeview</t>
  </si>
  <si>
    <t>Meadowlark</t>
  </si>
  <si>
    <t>Paintbrush</t>
  </si>
  <si>
    <t>Pronghorn</t>
  </si>
  <si>
    <t>Rawhide</t>
  </si>
  <si>
    <t>Rozet</t>
  </si>
  <si>
    <t>Sunflower</t>
  </si>
  <si>
    <t>Wagonwheel</t>
  </si>
  <si>
    <t>Total City</t>
  </si>
  <si>
    <t>Sage Valley</t>
  </si>
  <si>
    <t>Twin Spruce</t>
  </si>
  <si>
    <t>Total Jr. High</t>
  </si>
  <si>
    <t>Westwood</t>
  </si>
  <si>
    <t>CCHS</t>
  </si>
  <si>
    <t>WJSH</t>
  </si>
  <si>
    <t>Total Sr. High</t>
  </si>
  <si>
    <t>TOTAL ALL SCHOOLS</t>
  </si>
  <si>
    <t>Prom</t>
  </si>
  <si>
    <t>Yearbook</t>
  </si>
  <si>
    <t>Careers</t>
  </si>
  <si>
    <t>Actual</t>
  </si>
  <si>
    <t>Projected</t>
  </si>
  <si>
    <t>SCHOOL</t>
  </si>
  <si>
    <t>Enrollment</t>
  </si>
  <si>
    <t>Students</t>
  </si>
  <si>
    <t>Current Year</t>
  </si>
  <si>
    <t>Cellular Phone</t>
  </si>
  <si>
    <t>Telephone</t>
  </si>
  <si>
    <t>Base Charge</t>
  </si>
  <si>
    <t>Allocation</t>
  </si>
  <si>
    <t>Total School Allocation</t>
  </si>
  <si>
    <t>Assoc. Supt-Instr'l Support</t>
  </si>
  <si>
    <t>Maintenance</t>
  </si>
  <si>
    <t>Educational Services Center</t>
  </si>
  <si>
    <t>Special Services</t>
  </si>
  <si>
    <t>Parish Hall</t>
  </si>
  <si>
    <t>Staff Development</t>
  </si>
  <si>
    <t>STAR Program</t>
  </si>
  <si>
    <t>Superintendent</t>
  </si>
  <si>
    <t>Transportation-Activities</t>
  </si>
  <si>
    <t>Wellness</t>
  </si>
  <si>
    <t>Total Other Departments</t>
  </si>
  <si>
    <t>Current</t>
  </si>
  <si>
    <t>Add'l</t>
  </si>
  <si>
    <t>Year</t>
  </si>
  <si>
    <t>Budget</t>
  </si>
  <si>
    <t>Notes:</t>
  </si>
  <si>
    <t>Total Per</t>
  </si>
  <si>
    <t>SED</t>
  </si>
  <si>
    <t>Hearing</t>
  </si>
  <si>
    <t>VI</t>
  </si>
  <si>
    <t>'K'</t>
  </si>
  <si>
    <t>Counselor</t>
  </si>
  <si>
    <t>Speech</t>
  </si>
  <si>
    <t>Impaired</t>
  </si>
  <si>
    <t>Over/</t>
  </si>
  <si>
    <t>Summary</t>
  </si>
  <si>
    <t>Entries</t>
  </si>
  <si>
    <t>(Under)</t>
  </si>
  <si>
    <t>LD/Res Rm</t>
  </si>
  <si>
    <t>Allocation/</t>
  </si>
  <si>
    <t>Building</t>
  </si>
  <si>
    <t>200 or Less</t>
  </si>
  <si>
    <t>Per Student</t>
  </si>
  <si>
    <t>300+</t>
  </si>
  <si>
    <t>WJSHS</t>
  </si>
  <si>
    <t xml:space="preserve">Notes:  </t>
  </si>
  <si>
    <t>TOTAL SCHOOLS</t>
  </si>
  <si>
    <t>ESC</t>
  </si>
  <si>
    <t>Lakeway</t>
  </si>
  <si>
    <t>Warehouse</t>
  </si>
  <si>
    <t>Contingency</t>
  </si>
  <si>
    <t>Total Misc.</t>
  </si>
  <si>
    <t>Elementary Allocations:</t>
  </si>
  <si>
    <t>TOTAL UTILITIES</t>
  </si>
  <si>
    <t>Sq. Footage</t>
  </si>
  <si>
    <t>BBP</t>
  </si>
  <si>
    <t>Sq</t>
  </si>
  <si>
    <t>Per Stu.</t>
  </si>
  <si>
    <t>Footage</t>
  </si>
  <si>
    <t>Alloc</t>
  </si>
  <si>
    <t>Trans/Warehouse</t>
  </si>
  <si>
    <t>Maint Holding for Bldgs.</t>
  </si>
  <si>
    <t>GRAND TOTAL</t>
  </si>
  <si>
    <t>Total All Schools</t>
  </si>
  <si>
    <t>Virtual</t>
  </si>
  <si>
    <t>Building/Depart Total</t>
  </si>
  <si>
    <t>Previous</t>
  </si>
  <si>
    <t>Staff</t>
  </si>
  <si>
    <t>Allocations</t>
  </si>
  <si>
    <t>Power School</t>
  </si>
  <si>
    <t>Science Kits</t>
  </si>
  <si>
    <t>Early Childhood</t>
  </si>
  <si>
    <t>Curriculum Facilitators</t>
  </si>
  <si>
    <t>Board of Trustees</t>
  </si>
  <si>
    <t>Parent University</t>
  </si>
  <si>
    <t>Capital Equipment</t>
  </si>
  <si>
    <t>School Allocations</t>
  </si>
  <si>
    <t>Rural Elem</t>
  </si>
  <si>
    <t>City Elem:</t>
  </si>
  <si>
    <t>Senior High:</t>
  </si>
  <si>
    <t xml:space="preserve">   Wright Jr/Sr</t>
  </si>
  <si>
    <t>ARCHITECT &amp; ENGINEER SERVICES</t>
  </si>
  <si>
    <t xml:space="preserve">   &gt; 250 Students</t>
  </si>
  <si>
    <t>Amount</t>
  </si>
  <si>
    <t>Building/Department</t>
  </si>
  <si>
    <t>03000-06000</t>
  </si>
  <si>
    <t>of</t>
  </si>
  <si>
    <t>Code</t>
  </si>
  <si>
    <t>Change</t>
  </si>
  <si>
    <t>INSTRUCTION</t>
  </si>
  <si>
    <t>ALL SCHOOLS</t>
  </si>
  <si>
    <t xml:space="preserve">Planetarium </t>
  </si>
  <si>
    <t>ELEMENTARY</t>
  </si>
  <si>
    <t>Volunteer Accident Premium</t>
  </si>
  <si>
    <t>Mallo Camp</t>
  </si>
  <si>
    <t>Resource Materials</t>
  </si>
  <si>
    <t>Reading Specialists</t>
  </si>
  <si>
    <t>JUNIOR HIGH</t>
  </si>
  <si>
    <t>SENIOR HIGH</t>
  </si>
  <si>
    <t>ALL SECONDARY</t>
  </si>
  <si>
    <t>Supv/Secondary Education</t>
  </si>
  <si>
    <t>SPECIAL PROGRAMS</t>
  </si>
  <si>
    <t>1210-1290</t>
  </si>
  <si>
    <t>APE</t>
  </si>
  <si>
    <t>Special Ed Tuition</t>
  </si>
  <si>
    <t>JUMP Start</t>
  </si>
  <si>
    <t>ESL</t>
  </si>
  <si>
    <t>Director of Special Programs</t>
  </si>
  <si>
    <t>Homebound</t>
  </si>
  <si>
    <t>7th &amp; 8th GRADE RURAL ACT.</t>
  </si>
  <si>
    <t>TOTAL W/O Virtual</t>
  </si>
  <si>
    <t>TOTAL - ALL SCHOOLS</t>
  </si>
  <si>
    <t>SR HIGH ACTIVITIES</t>
  </si>
  <si>
    <t>WHSAA Catastrophic Insurance</t>
  </si>
  <si>
    <t>INSTRUCTIONAL SUPPORT</t>
  </si>
  <si>
    <t>Supervisor of Guidance</t>
  </si>
  <si>
    <t>Student Records</t>
  </si>
  <si>
    <t>SOCIAL PROGRAMS</t>
  </si>
  <si>
    <t>HEALTH</t>
  </si>
  <si>
    <t>Student Accident Insurance</t>
  </si>
  <si>
    <t>Blood Borne Pathogen</t>
  </si>
  <si>
    <t>Strep Screening</t>
  </si>
  <si>
    <t>Nurses Supplies-1st Aid</t>
  </si>
  <si>
    <t>Nurses Supplies</t>
  </si>
  <si>
    <t>PSYCHOLOGICAL</t>
  </si>
  <si>
    <t>Psych Techs</t>
  </si>
  <si>
    <t>Mental Health Services</t>
  </si>
  <si>
    <t>SPEECH PATHOLOGY</t>
  </si>
  <si>
    <t xml:space="preserve">Augment. Comm </t>
  </si>
  <si>
    <t>AUDIOLOGY</t>
  </si>
  <si>
    <t>Occupational Therapy (OT)</t>
  </si>
  <si>
    <t>Physical Therapy (PT)</t>
  </si>
  <si>
    <t>GENERAL SUPPORT</t>
  </si>
  <si>
    <t>FACILITATORS/IMS</t>
  </si>
  <si>
    <t>Various</t>
  </si>
  <si>
    <t>STAFF DEVELOPMENT</t>
  </si>
  <si>
    <t>National Teacher Certification</t>
  </si>
  <si>
    <t>Staff Development (Certified)</t>
  </si>
  <si>
    <t>LIBRARY/MEDIA</t>
  </si>
  <si>
    <t>District Media Services</t>
  </si>
  <si>
    <t>Lost Library Books</t>
  </si>
  <si>
    <t>Electronic Technicians</t>
  </si>
  <si>
    <t>OFF. OF SUPERINTENDENT</t>
  </si>
  <si>
    <t>School/Univ Partnership</t>
  </si>
  <si>
    <t>BUSINESS ADMINISTRATION</t>
  </si>
  <si>
    <t>Notary Bond Premium</t>
  </si>
  <si>
    <t>FISCAL SERVICES</t>
  </si>
  <si>
    <t>Payroll</t>
  </si>
  <si>
    <t>PURCHASING</t>
  </si>
  <si>
    <t>DELIVERY SERVICES</t>
  </si>
  <si>
    <t>Mail Room</t>
  </si>
  <si>
    <t>PRINTING</t>
  </si>
  <si>
    <t>BOARD OF TRUSTEES</t>
  </si>
  <si>
    <t>Treasurer's Bond</t>
  </si>
  <si>
    <t>Liability/Umbrella Insurance</t>
  </si>
  <si>
    <t>Audit Fees</t>
  </si>
  <si>
    <t>Custodial (held by Maint)</t>
  </si>
  <si>
    <t>Building Custodial</t>
  </si>
  <si>
    <t>Lakeway Learning Center</t>
  </si>
  <si>
    <t>Property Package Insurance</t>
  </si>
  <si>
    <t>Care/Upkeep of Grounds</t>
  </si>
  <si>
    <t>Care/Upkeep of Equipment</t>
  </si>
  <si>
    <t>Vehicle Operation/Maintenance</t>
  </si>
  <si>
    <t>District Technology Repairs</t>
  </si>
  <si>
    <t>Security/Alarm Services</t>
  </si>
  <si>
    <t>Lakeway Security/Panic Alarm</t>
  </si>
  <si>
    <t>Parish Hall Security/Panic Alarm</t>
  </si>
  <si>
    <t>Transportation Sec/Panic Alarm</t>
  </si>
  <si>
    <t>ESC Security/Panic Alarm</t>
  </si>
  <si>
    <t>TRANSPORTATION</t>
  </si>
  <si>
    <t>Students To-From School</t>
  </si>
  <si>
    <t>Supervisor</t>
  </si>
  <si>
    <t>Vehicle Service/Maintenance</t>
  </si>
  <si>
    <t>Administration Auto Insurance</t>
  </si>
  <si>
    <t>Radio Insurance</t>
  </si>
  <si>
    <t>Other Transportation</t>
  </si>
  <si>
    <t>Auto Insurance - Pool, Maint, etc</t>
  </si>
  <si>
    <t>SUPPORT SERV-CENTRAL</t>
  </si>
  <si>
    <t>Human Resources</t>
  </si>
  <si>
    <t>COMMUNITY SUPPORT</t>
  </si>
  <si>
    <t>Community Service</t>
  </si>
  <si>
    <t>Operating Transfers</t>
  </si>
  <si>
    <t>TOTAL THIS WORKSHEET</t>
  </si>
  <si>
    <t>TOTAL TELEPHONE ALLOCATIONS</t>
  </si>
  <si>
    <t>Increase/</t>
  </si>
  <si>
    <t>Inc/(Dec)</t>
  </si>
  <si>
    <t>Description</t>
  </si>
  <si>
    <t>(Decrease)</t>
  </si>
  <si>
    <t>%</t>
  </si>
  <si>
    <t>School Allocations:</t>
  </si>
  <si>
    <t xml:space="preserve">   3-6 Objects per Student</t>
  </si>
  <si>
    <t xml:space="preserve">   Telephone</t>
  </si>
  <si>
    <t xml:space="preserve">   Capital Equipment</t>
  </si>
  <si>
    <t xml:space="preserve">   Activities</t>
  </si>
  <si>
    <t xml:space="preserve">   Special Programs</t>
  </si>
  <si>
    <t xml:space="preserve">   Library/Media Center</t>
  </si>
  <si>
    <t xml:space="preserve">   Administration</t>
  </si>
  <si>
    <t xml:space="preserve">   Utilities</t>
  </si>
  <si>
    <t xml:space="preserve">   Custodial</t>
  </si>
  <si>
    <t xml:space="preserve">   Security Alarms</t>
  </si>
  <si>
    <t>Total School Allocations</t>
  </si>
  <si>
    <t>Department Allocations:</t>
  </si>
  <si>
    <t xml:space="preserve">   Instruction (1000)</t>
  </si>
  <si>
    <t xml:space="preserve">   Instructional Support (2000)</t>
  </si>
  <si>
    <t xml:space="preserve">   General Support (3000)</t>
  </si>
  <si>
    <t xml:space="preserve">   Transportation (3500)</t>
  </si>
  <si>
    <t xml:space="preserve">   Support Services (3800)</t>
  </si>
  <si>
    <t xml:space="preserve">   Community Support (4000)</t>
  </si>
  <si>
    <t xml:space="preserve">   Operating Transfers (6200)</t>
  </si>
  <si>
    <t>Total Department Allocations</t>
  </si>
  <si>
    <t>Net 03000-06999 Allocations</t>
  </si>
  <si>
    <t>11X0 Roll-Over</t>
  </si>
  <si>
    <t>14X0 Roll-Over</t>
  </si>
  <si>
    <t>2222 Roll-Over</t>
  </si>
  <si>
    <t>Total Roll-Over Allocations</t>
  </si>
  <si>
    <t>Allocations + Roll-Over</t>
  </si>
  <si>
    <t>GRAND TOTAL 3-7 ALLOCATIONS</t>
  </si>
  <si>
    <t xml:space="preserve">   ESP Professional Development</t>
  </si>
  <si>
    <t>GATE</t>
  </si>
  <si>
    <t>Nurses Capital Equipment</t>
  </si>
  <si>
    <t>Special Ed Parent Travel</t>
  </si>
  <si>
    <t>Junior High Swimming</t>
  </si>
  <si>
    <t>Educational</t>
  </si>
  <si>
    <t xml:space="preserve">Note: Allocations for Augmentive Communications, Occupational Therapy, Physical Therapy, </t>
  </si>
  <si>
    <t>Adaptive PE &amp; School Psychs are included on the Department Allocation Summary.</t>
  </si>
  <si>
    <t>Contracted Services w/BOCES</t>
  </si>
  <si>
    <t>JUNIOR HIGH ACTIVITIES</t>
  </si>
  <si>
    <t xml:space="preserve">   Westwood</t>
  </si>
  <si>
    <t>ESP Professional Development</t>
  </si>
  <si>
    <t>Transportation-Gil</t>
  </si>
  <si>
    <t>Transportation-Wr</t>
  </si>
  <si>
    <t>Wright Transportation Building Costs</t>
  </si>
  <si>
    <t>Graduation</t>
  </si>
  <si>
    <t>201-299</t>
  </si>
  <si>
    <t>Budget Code</t>
  </si>
  <si>
    <t>Human Resources Manager</t>
  </si>
  <si>
    <t>Attendance Officer</t>
  </si>
  <si>
    <t>Aquatic Center - Student Instruction</t>
  </si>
  <si>
    <t>Special Services/Panic Alarm</t>
  </si>
  <si>
    <t>Allocated</t>
  </si>
  <si>
    <t>from Previous</t>
  </si>
  <si>
    <t>Prof'l Mediation/Executive Development</t>
  </si>
  <si>
    <t>INFORMATION SYSTEMS</t>
  </si>
  <si>
    <t>504/ADA Coordinator</t>
  </si>
  <si>
    <t xml:space="preserve">   Debt Service-Buses (6100)</t>
  </si>
  <si>
    <t>DEBT SERVICE - BUSES</t>
  </si>
  <si>
    <t>Parent Involvement Coordinator</t>
  </si>
  <si>
    <t>* Estimated - Subject to Change</t>
  </si>
  <si>
    <t>CCHS Vehicle Fuel</t>
  </si>
  <si>
    <t>Finance Vehicle Fuel</t>
  </si>
  <si>
    <t>IS Vehicle Fuel</t>
  </si>
  <si>
    <t>Human Resources Vehicle Fuel</t>
  </si>
  <si>
    <t>Electronic Tech Vehicle Fuel</t>
  </si>
  <si>
    <t>- Includes Principals</t>
  </si>
  <si>
    <t>WY Virtual School</t>
  </si>
  <si>
    <t>YES House</t>
  </si>
  <si>
    <t>ALL STUDENTS</t>
  </si>
  <si>
    <t>NOTE:  This is a detail page only.  The information is included in the Baseline School Allocation worksheet under the Projected Students column.</t>
  </si>
  <si>
    <t>Director of Student Services</t>
  </si>
  <si>
    <t>Student Assistance Coordinators</t>
  </si>
  <si>
    <t>Property Taxes:</t>
  </si>
  <si>
    <t xml:space="preserve">    4J Property Taxes</t>
  </si>
  <si>
    <t>Isolation-To/From School</t>
  </si>
  <si>
    <t>Isolation-Activities</t>
  </si>
  <si>
    <t>Capital Equipment-Lump Sum</t>
  </si>
  <si>
    <t>4J Instruction Vehicle Fuel</t>
  </si>
  <si>
    <t>Facilitators Vehicle Fuel</t>
  </si>
  <si>
    <t>Social Wkr/Attendance Officer Fuel</t>
  </si>
  <si>
    <t>Special Programs Mileage</t>
  </si>
  <si>
    <t>Speech Pathology - Mileage</t>
  </si>
  <si>
    <t>Audiology - Mileage</t>
  </si>
  <si>
    <t>Occupational Therapy - Mileage</t>
  </si>
  <si>
    <t xml:space="preserve">   Elementary/Rural</t>
  </si>
  <si>
    <t>11X0</t>
  </si>
  <si>
    <t>TOTAL ALL SCHLS</t>
  </si>
  <si>
    <t>Grand Total</t>
  </si>
  <si>
    <t>Mileage</t>
  </si>
  <si>
    <t>In-District Mileage Contingency</t>
  </si>
  <si>
    <t xml:space="preserve">   In-District Mileage</t>
  </si>
  <si>
    <t>Silver Hills</t>
  </si>
  <si>
    <t>Utilities Contingency</t>
  </si>
  <si>
    <t xml:space="preserve">   Junior High/Westwood</t>
  </si>
  <si>
    <t>Blood Borne Pathegon</t>
  </si>
  <si>
    <t>Per Student Allocations:</t>
  </si>
  <si>
    <t>BBP-Rural Elementary</t>
  </si>
  <si>
    <t>Lump Sum Allocations:</t>
  </si>
  <si>
    <r>
      <t xml:space="preserve">   Rural Elem-Low Sq. Ftg </t>
    </r>
    <r>
      <rPr>
        <sz val="9"/>
        <rFont val="Arial"/>
        <family val="2"/>
      </rPr>
      <t>(Rec/LP/4J)</t>
    </r>
  </si>
  <si>
    <t>BUSINESS - OTHER</t>
  </si>
  <si>
    <t>Substance Abuse Initiative</t>
  </si>
  <si>
    <t>State/National Travel:</t>
  </si>
  <si>
    <t xml:space="preserve">   - 16 hours outside Campbell County</t>
  </si>
  <si>
    <t xml:space="preserve">   - All trips in Campbell County are District trips and are not charged to the school, with the exception of</t>
  </si>
  <si>
    <t xml:space="preserve">      in-district trips paid by funds other than general funds or after school trips</t>
  </si>
  <si>
    <t xml:space="preserve">   - 8 hours for out-of-district travel for all schools with 350+ students - or - schools located outside the city limits</t>
  </si>
  <si>
    <t xml:space="preserve">   - At year-end all elementary hours will be 'pooled' to determine overages</t>
  </si>
  <si>
    <r>
      <t xml:space="preserve">Note 1: </t>
    </r>
    <r>
      <rPr>
        <sz val="10"/>
        <rFont val="Arial"/>
        <family val="2"/>
      </rPr>
      <t xml:space="preserve"> Field Trip allocations are part of the Transportation budget.  There is no</t>
    </r>
  </si>
  <si>
    <r>
      <t>Note 2:</t>
    </r>
    <r>
      <rPr>
        <sz val="10"/>
        <rFont val="Arial"/>
        <family val="2"/>
      </rPr>
      <t xml:space="preserve">  In order to recover some of the costs associated with bus replacement,</t>
    </r>
  </si>
  <si>
    <r>
      <t>Note 3:</t>
    </r>
    <r>
      <rPr>
        <sz val="10"/>
        <rFont val="Arial"/>
        <family val="2"/>
      </rPr>
      <t xml:space="preserve">  Elementary Allocations were revised in FY2006 to include the following:</t>
    </r>
  </si>
  <si>
    <t>Psych Tech/Sch Psych - Mileage</t>
  </si>
  <si>
    <t>GATE Cert'd Professional Develop.</t>
  </si>
  <si>
    <t>Sch/Univ Partnership Cert'd Prof Dev</t>
  </si>
  <si>
    <t>WJSH Vehicle Fuel</t>
  </si>
  <si>
    <t xml:space="preserve">   Paint</t>
  </si>
  <si>
    <t xml:space="preserve">   HVAC</t>
  </si>
  <si>
    <t xml:space="preserve">   Electrical</t>
  </si>
  <si>
    <t xml:space="preserve">   Plumbing</t>
  </si>
  <si>
    <t>Background Checks</t>
  </si>
  <si>
    <t>Speech/Debate 6th-9th Grades</t>
  </si>
  <si>
    <t>Staff Services</t>
  </si>
  <si>
    <t>Flex Benefit Program Out-Sourcing</t>
  </si>
  <si>
    <t>Employee Recruiting</t>
  </si>
  <si>
    <t>Transportation Recognition</t>
  </si>
  <si>
    <t>Certified</t>
  </si>
  <si>
    <t>Prof'l Dev.</t>
  </si>
  <si>
    <t>2213</t>
  </si>
  <si>
    <t>3830</t>
  </si>
  <si>
    <t xml:space="preserve">   Certified Professional Development</t>
  </si>
  <si>
    <t>Healthy Schools Coordinator</t>
  </si>
  <si>
    <t>Determined by School</t>
  </si>
  <si>
    <t>Summer School Meals</t>
  </si>
  <si>
    <t>FIELD TRIP HOURS</t>
  </si>
  <si>
    <t>Outside Campbell County</t>
  </si>
  <si>
    <t>4th Grade History</t>
  </si>
  <si>
    <t>Outside City Limits</t>
  </si>
  <si>
    <t>350+ Students</t>
  </si>
  <si>
    <t>4J</t>
  </si>
  <si>
    <t>Potential Operating Transfers:</t>
  </si>
  <si>
    <t>(or transfers up to given amount)</t>
  </si>
  <si>
    <t>Recommended</t>
  </si>
  <si>
    <t xml:space="preserve">   - 16 hours (2 days at 8 hrs ea) for each 4th grade section for Wyoming history field trips (LP, Rec, 4J rounded up to 1 section)</t>
  </si>
  <si>
    <t>Total Elem Hours</t>
  </si>
  <si>
    <t>TOTAL SECONDARY SCHOOLS</t>
  </si>
  <si>
    <t>Elementary:</t>
  </si>
  <si>
    <t>Secondary</t>
  </si>
  <si>
    <t>Schools</t>
  </si>
  <si>
    <t>Note:</t>
  </si>
  <si>
    <t>Finance Office</t>
  </si>
  <si>
    <t>403B Contracted Professional Services</t>
  </si>
  <si>
    <t>Nat'l Teacher Certification Benefits</t>
  </si>
  <si>
    <t>Linked to Dept. Tab</t>
  </si>
  <si>
    <t xml:space="preserve">Note:  This is a detail page only.  The amounts listed below are included in the </t>
  </si>
  <si>
    <t xml:space="preserve">   Library/Media column on the Baseline School Allocation worksheet.</t>
  </si>
  <si>
    <t xml:space="preserve">Note:  This is a detail page only.  The amounts below are included in the Baseline School Allocation </t>
  </si>
  <si>
    <t>worksheet under the Certified Professional Development Column.</t>
  </si>
  <si>
    <t>Note:  This is a detail page only.  The amounts shown below are included in the Custodial columns of the Baseline School</t>
  </si>
  <si>
    <t xml:space="preserve">               Allocations and Department worksheets.</t>
  </si>
  <si>
    <t>Note:  This is a detail page only.  Amounts shown below are included in the ESP Professional Development column</t>
  </si>
  <si>
    <t xml:space="preserve">               of the Baseline School Allocations worksheet.</t>
  </si>
  <si>
    <t>Note:  This is a detail page only.  The amounts listed below are found under the Telephone column in the Baseline</t>
  </si>
  <si>
    <t xml:space="preserve">   School Allocations or Department worksheets.</t>
  </si>
  <si>
    <t>Assist. Supt/Curriculum &amp; Assessment</t>
  </si>
  <si>
    <t>Assist. Supt/Curriculum Vehicle Fuel</t>
  </si>
  <si>
    <t>NOTE:  This is a detail page only.  The amounts are included in the School Allocation worksheet under the Mileage Column.</t>
  </si>
  <si>
    <t>Spec Pgms-Case Manager Mileage</t>
  </si>
  <si>
    <t>Sixth Grade Honors Concert</t>
  </si>
  <si>
    <t>Lawn Care Outsource (Spring)</t>
  </si>
  <si>
    <t>Consultant</t>
  </si>
  <si>
    <t>Case</t>
  </si>
  <si>
    <t>Managers</t>
  </si>
  <si>
    <t>Clerk</t>
  </si>
  <si>
    <t>Fund</t>
  </si>
  <si>
    <t>OT</t>
  </si>
  <si>
    <t>PT</t>
  </si>
  <si>
    <t>Assistive</t>
  </si>
  <si>
    <t>Tech</t>
  </si>
  <si>
    <t>Improvement</t>
  </si>
  <si>
    <t>ED Consultant</t>
  </si>
  <si>
    <t>Case Managers</t>
  </si>
  <si>
    <t>Clerk Fund</t>
  </si>
  <si>
    <t>Assistive Technology</t>
  </si>
  <si>
    <t>Note:  Allocations were adjusted in October, 2007 to create department budgets for staff</t>
  </si>
  <si>
    <t>at Lakeway Learning Center.</t>
  </si>
  <si>
    <t>in Hours</t>
  </si>
  <si>
    <t>To-From Schl Vehicle Property Insurance</t>
  </si>
  <si>
    <t>To-From Schl Vehicle Liability Insurance</t>
  </si>
  <si>
    <t>Activity Vehicle Liability Insurance</t>
  </si>
  <si>
    <t>as Amended</t>
  </si>
  <si>
    <t>NOTE:  This is a detail page only.  The information is included in the Baseline School Allocation worksheet under the Capital Equipment column.</t>
  </si>
  <si>
    <t>Total Fuel Allocation</t>
  </si>
  <si>
    <t>01.1110.04540.022.00000</t>
  </si>
  <si>
    <t>01.1110.04540.020.00000</t>
  </si>
  <si>
    <t>01.1110.04540.031.00000</t>
  </si>
  <si>
    <t>01.3321.04540.020.31100</t>
  </si>
  <si>
    <t>01.3321.04540.026.31100</t>
  </si>
  <si>
    <t>01.3321.04540.150.31100</t>
  </si>
  <si>
    <t>01.3321.04540.151.31100</t>
  </si>
  <si>
    <t>01.3321.04540.152.31100</t>
  </si>
  <si>
    <t>01.3330.04540.350.34100</t>
  </si>
  <si>
    <t>Note:  This is a detail page only.  Amounts listed below are included in the Department worksheets.</t>
  </si>
  <si>
    <t>Total Mileage Allocation</t>
  </si>
  <si>
    <t>01.3400.07001.000.69000</t>
  </si>
  <si>
    <t>Total Capital Equipment Allocation</t>
  </si>
  <si>
    <r>
      <t xml:space="preserve">   Capital Equipment </t>
    </r>
    <r>
      <rPr>
        <sz val="10"/>
        <color indexed="56"/>
        <rFont val="Arial"/>
        <family val="2"/>
      </rPr>
      <t>(Various)</t>
    </r>
  </si>
  <si>
    <t>Total Activities Allocation</t>
  </si>
  <si>
    <t>various</t>
  </si>
  <si>
    <t>01.1100.03327.000.35900</t>
  </si>
  <si>
    <t>01.2211.04540.202.32100</t>
  </si>
  <si>
    <t>01.2212.04540.202.32110</t>
  </si>
  <si>
    <t>01.3830.04540.350.35100</t>
  </si>
  <si>
    <t>60 Day Recalc &amp; Additional Students</t>
  </si>
  <si>
    <t>01.1100..000.15510</t>
  </si>
  <si>
    <t>01.1100..000.09130/19180</t>
  </si>
  <si>
    <t>01.1100..101.29560</t>
  </si>
  <si>
    <t>01.1100..201.00000</t>
  </si>
  <si>
    <t>01.1100..250.00000</t>
  </si>
  <si>
    <t>01.1110..029.05540</t>
  </si>
  <si>
    <t>01.1110..029.01120</t>
  </si>
  <si>
    <t>01.1110..029.03100</t>
  </si>
  <si>
    <t>01.1110..029.32100</t>
  </si>
  <si>
    <t>01.1110..029.32700</t>
  </si>
  <si>
    <t>01.1131..155.19120</t>
  </si>
  <si>
    <t>01.1131..155.32710</t>
  </si>
  <si>
    <t>01.1210..225.00000</t>
  </si>
  <si>
    <t>01.1210..225.20100</t>
  </si>
  <si>
    <t>01.1210..000.32200</t>
  </si>
  <si>
    <t>01.1233..000.29530</t>
  </si>
  <si>
    <t>01.1250.03710.000.00000</t>
  </si>
  <si>
    <t>01.1260..029.32120</t>
  </si>
  <si>
    <t>01.1280..000.00000</t>
  </si>
  <si>
    <t>01.1420..155.17221/17222</t>
  </si>
  <si>
    <t>01.1420..155.17210</t>
  </si>
  <si>
    <t>01.1430.03850.155.32600</t>
  </si>
  <si>
    <t>01.1430..250.00000</t>
  </si>
  <si>
    <t>01.2115..225.32200</t>
  </si>
  <si>
    <t>01.2115..350.32800</t>
  </si>
  <si>
    <t>01.2122..000.31400</t>
  </si>
  <si>
    <t>01.2132..000.29220</t>
  </si>
  <si>
    <t>01.2132..000.29240</t>
  </si>
  <si>
    <t>01.2132..000.29210</t>
  </si>
  <si>
    <t>01.2132..000.29230</t>
  </si>
  <si>
    <t>01.2140..000.32200</t>
  </si>
  <si>
    <t>01.2140..225.00000</t>
  </si>
  <si>
    <t>01.2152..225.00000</t>
  </si>
  <si>
    <t>01.2153..000.00000</t>
  </si>
  <si>
    <t>01.2153.03190.000.00000</t>
  </si>
  <si>
    <t>01.2171..225.00000</t>
  </si>
  <si>
    <t>01.2172..225.00000</t>
  </si>
  <si>
    <t>01.2211..202.32100</t>
  </si>
  <si>
    <t>01.2212..202.32110</t>
  </si>
  <si>
    <t>01.2213.03325.000.29530</t>
  </si>
  <si>
    <t>01.2213.03325.000.36200</t>
  </si>
  <si>
    <t>01.2213.03325.029.32700</t>
  </si>
  <si>
    <t>01.2213.03325.155.32710</t>
  </si>
  <si>
    <t>01.2213..220.32400</t>
  </si>
  <si>
    <t>01.2222.07001.000.34100</t>
  </si>
  <si>
    <t>01.2230..225.32200</t>
  </si>
  <si>
    <t>01.2240..220.33300</t>
  </si>
  <si>
    <t>01.2290..350.32300</t>
  </si>
  <si>
    <t>01.3311..350.36100</t>
  </si>
  <si>
    <t>01.3311..000.36200</t>
  </si>
  <si>
    <t>01.3311..350.36200</t>
  </si>
  <si>
    <t>01.3330..350.34100</t>
  </si>
  <si>
    <t>01.3330.03830.000.34100</t>
  </si>
  <si>
    <t>01.3330.03832.000.34100</t>
  </si>
  <si>
    <t>01.3331..350.34320</t>
  </si>
  <si>
    <t>01.3331..350.34200</t>
  </si>
  <si>
    <t>01.3332..350.34400</t>
  </si>
  <si>
    <t>01.3333..350.34410</t>
  </si>
  <si>
    <t>01.3333..350.34420</t>
  </si>
  <si>
    <t>01.3334..352.00000</t>
  </si>
  <si>
    <t>01.3350..350.36000</t>
  </si>
  <si>
    <t>01.3350.03840.350.36000</t>
  </si>
  <si>
    <t>01.3350.03190.350.36000</t>
  </si>
  <si>
    <t>01.3350.03830.000.00000</t>
  </si>
  <si>
    <t>01.3420.03810.000.00000</t>
  </si>
  <si>
    <t>01.3420.04500.000.00000</t>
  </si>
  <si>
    <t>01.3420..235.00000</t>
  </si>
  <si>
    <t>01.3420.03405.225.00000</t>
  </si>
  <si>
    <t>01.3420.045xx.311.00000</t>
  </si>
  <si>
    <t>01.3420.06003.031.49000</t>
  </si>
  <si>
    <t>01.3420..315.45601-45602</t>
  </si>
  <si>
    <t>01.3420..000.45910</t>
  </si>
  <si>
    <t>01.3420.04100..45400</t>
  </si>
  <si>
    <t>01.3420.04100..45200</t>
  </si>
  <si>
    <t>01.3420.04100..45500</t>
  </si>
  <si>
    <t>01.3420.04100..45700</t>
  </si>
  <si>
    <t>01.3430…45300</t>
  </si>
  <si>
    <t>01.3430..315.45311</t>
  </si>
  <si>
    <t>01.3450..315.45000</t>
  </si>
  <si>
    <t>01.3460..320.44430</t>
  </si>
  <si>
    <t>01.3510.03330.32x.00000</t>
  </si>
  <si>
    <t>01.3520.03330.32x.00000</t>
  </si>
  <si>
    <t>01.3510.03820.320.44300</t>
  </si>
  <si>
    <t>01.3510.03830.320.44300</t>
  </si>
  <si>
    <t>Student Activities</t>
  </si>
  <si>
    <t>01.3520..32x.00000</t>
  </si>
  <si>
    <t>01.3520.03820.320.44300</t>
  </si>
  <si>
    <t>01.3520.03830.320.44300</t>
  </si>
  <si>
    <t>01.3530..320.44xxx</t>
  </si>
  <si>
    <t>01.3530.03404.320.44500</t>
  </si>
  <si>
    <t>01.3550..32x.44xxx</t>
  </si>
  <si>
    <t>01.3420..321.00000</t>
  </si>
  <si>
    <t>01.3590.</t>
  </si>
  <si>
    <t>01.3590.03820.320.44300</t>
  </si>
  <si>
    <t>01.3590.03830.320.44300</t>
  </si>
  <si>
    <t>01.3830..000.35510</t>
  </si>
  <si>
    <t>01.3830..350.35310</t>
  </si>
  <si>
    <t>01.3830..350.35100</t>
  </si>
  <si>
    <t>01.4300..000.00000</t>
  </si>
  <si>
    <t>01.4300..000.37000</t>
  </si>
  <si>
    <t>01.4300..000.36300</t>
  </si>
  <si>
    <t>01.6200.07250.501.00000</t>
  </si>
  <si>
    <t>01.6200.07220.000.32420</t>
  </si>
  <si>
    <t>3420..45600</t>
  </si>
  <si>
    <t>01.2213.03325.xxx.xxxxx</t>
  </si>
  <si>
    <t>01.2222.XXXXX.XXX.00000 or 01.2223.XXXXX.XXX.00000</t>
  </si>
  <si>
    <t>Object 03405</t>
  </si>
  <si>
    <t>Object 03406</t>
  </si>
  <si>
    <t>01.3420.03405.010.00000</t>
  </si>
  <si>
    <t>01.3420.03405.026.00000</t>
  </si>
  <si>
    <t>01.3420.03405.007.00000</t>
  </si>
  <si>
    <t>01.3420.03405.005.00000</t>
  </si>
  <si>
    <t>01.3420.03405.008.00000</t>
  </si>
  <si>
    <t>01.3420.03405.012.00000</t>
  </si>
  <si>
    <t>01.3420.03405.015.00000</t>
  </si>
  <si>
    <t>01.3420.03405.011.00000</t>
  </si>
  <si>
    <t>01.3420.03405.023.00000</t>
  </si>
  <si>
    <t>01.3420.03405.006.00000</t>
  </si>
  <si>
    <t>01.3420.03405.027.00000</t>
  </si>
  <si>
    <t>01.3420.03405.003.00000</t>
  </si>
  <si>
    <t>01.3420.03405.009.00000</t>
  </si>
  <si>
    <t>01.3420.03405.153.00000</t>
  </si>
  <si>
    <t>01.3420.03405.152.00000</t>
  </si>
  <si>
    <t>01.3420.03405.202.32100</t>
  </si>
  <si>
    <t>01.3311.03406.350.36200</t>
  </si>
  <si>
    <t>01.3330.03406.350.34100</t>
  </si>
  <si>
    <t>01.2122.0340x.000.31400</t>
  </si>
  <si>
    <t>01.3335.034xx.350.34300</t>
  </si>
  <si>
    <t>Information Systems</t>
  </si>
  <si>
    <t>Assist. Supt-Curriculum/Assessment</t>
  </si>
  <si>
    <t>01.3420.03405.350.00000</t>
  </si>
  <si>
    <t>01.3830.03405.350.35100</t>
  </si>
  <si>
    <t>01.3420.03405.315.45xxx</t>
  </si>
  <si>
    <t>01.3420.03405.235.00000</t>
  </si>
  <si>
    <t>01.2213.03405.220.32400</t>
  </si>
  <si>
    <t>01.1131.03406.155.19120</t>
  </si>
  <si>
    <t>01.3311.03406.350.36100</t>
  </si>
  <si>
    <t>01.3420.03406.320.44500</t>
  </si>
  <si>
    <t>01.3420.03405.321.00000</t>
  </si>
  <si>
    <t>01.3420.03405.320.xxxxx</t>
  </si>
  <si>
    <t>01.3420.03405.230.00000</t>
  </si>
  <si>
    <t>BUILDING OPERATIONS</t>
  </si>
  <si>
    <t>01.3830.03326.XXX.32400</t>
  </si>
  <si>
    <t xml:space="preserve">   Plant Services (3400)</t>
  </si>
  <si>
    <t>01.XXXX.X54X0.XXX.XXXXX</t>
  </si>
  <si>
    <t>01.XXXX.054XX.XXX.XXXXX</t>
  </si>
  <si>
    <t>01.xxx.03327.xxx.35900</t>
  </si>
  <si>
    <t>Note:  This is a detail page only.  The amounts are included in the School Allocation worksheet under the Special Programs column.</t>
  </si>
  <si>
    <t>01.14XX.0XXXX.XXX.XXXXX</t>
  </si>
  <si>
    <t>01.3331.03150.350.34100</t>
  </si>
  <si>
    <t>01.3420..000.34100</t>
  </si>
  <si>
    <t>01.3420.045XX.XXX.XXXXX</t>
  </si>
  <si>
    <t>Increase /</t>
  </si>
  <si>
    <t>Utility</t>
  </si>
  <si>
    <t>00000</t>
  </si>
  <si>
    <t>1210</t>
  </si>
  <si>
    <t>20100</t>
  </si>
  <si>
    <t>20800</t>
  </si>
  <si>
    <t>2110</t>
  </si>
  <si>
    <t>20700</t>
  </si>
  <si>
    <t>2115</t>
  </si>
  <si>
    <t>32200</t>
  </si>
  <si>
    <t>2140</t>
  </si>
  <si>
    <t>2152</t>
  </si>
  <si>
    <t>2153</t>
  </si>
  <si>
    <t>2171</t>
  </si>
  <si>
    <t>2172</t>
  </si>
  <si>
    <t>2240</t>
  </si>
  <si>
    <t>01.3420.03250.023.00000</t>
  </si>
  <si>
    <t>01.3420.03250.031.00000</t>
  </si>
  <si>
    <t>Arts in Education - Cam-Plex</t>
  </si>
  <si>
    <t>01.1100.03110.000.05900</t>
  </si>
  <si>
    <t>L/MC Add'l Stu/Recalc Contingency</t>
  </si>
  <si>
    <t>Inspections, Boiler Cleaning, &amp; Weed Spraying (controlled by Finance)</t>
  </si>
  <si>
    <t xml:space="preserve">   4J School Site Lease</t>
  </si>
  <si>
    <t xml:space="preserve">   Little Powder School Site Lease</t>
  </si>
  <si>
    <t xml:space="preserve">   Rozet Sewage Lagoon Site Lease</t>
  </si>
  <si>
    <t>Credit Card Fees</t>
  </si>
  <si>
    <r>
      <rPr>
        <b/>
        <sz val="14"/>
        <rFont val="Arial"/>
        <family val="2"/>
      </rPr>
      <t>Field Trip</t>
    </r>
    <r>
      <rPr>
        <b/>
        <sz val="12"/>
        <rFont val="Arial"/>
        <family val="2"/>
      </rPr>
      <t xml:space="preserve"> Allocations</t>
    </r>
  </si>
  <si>
    <t>01.XXXX.04540.XXX.00000</t>
  </si>
  <si>
    <t>ESP</t>
  </si>
  <si>
    <t>Telphone</t>
  </si>
  <si>
    <t>2070x</t>
  </si>
  <si>
    <t>01.3830.03190.350.35400</t>
  </si>
  <si>
    <t>2030x</t>
  </si>
  <si>
    <t>2060x</t>
  </si>
  <si>
    <t>01.2240.04110.000.33240</t>
  </si>
  <si>
    <t>01.2240.05409.000.33210</t>
  </si>
  <si>
    <t>01.2240.05409.000.33220</t>
  </si>
  <si>
    <t>01.2240.05430.000.33220</t>
  </si>
  <si>
    <t>District Software</t>
  </si>
  <si>
    <t>Network Support</t>
  </si>
  <si>
    <t>Network Wiring</t>
  </si>
  <si>
    <t>01.1130.04100.152.16700</t>
  </si>
  <si>
    <t>Nurse/Infectious</t>
  </si>
  <si>
    <t>Diseases</t>
  </si>
  <si>
    <t>2132</t>
  </si>
  <si>
    <t>01.2132.XXXXX.XXX.xxxxx</t>
  </si>
  <si>
    <t>01.2132.04100.xxx.29230</t>
  </si>
  <si>
    <t>Infectious Diseases</t>
  </si>
  <si>
    <t>01.2132.04107.xxx.29220</t>
  </si>
  <si>
    <t>01.3331..350.34110</t>
  </si>
  <si>
    <t>House Project</t>
  </si>
  <si>
    <t>Engraving</t>
  </si>
  <si>
    <t>District Rental Property</t>
  </si>
  <si>
    <t>01.3420..xxx.49000</t>
  </si>
  <si>
    <t xml:space="preserve">   Health Services</t>
  </si>
  <si>
    <t>01.1270.04100.000.00000</t>
  </si>
  <si>
    <t>Prairie Wind</t>
  </si>
  <si>
    <t>Safety-At Risk Manager</t>
  </si>
  <si>
    <t>01.3339..350.34500</t>
  </si>
  <si>
    <t>01.3339.04540.350.34500</t>
  </si>
  <si>
    <t>01.2122.04540.000.31400</t>
  </si>
  <si>
    <t>- Excludes Grant Funded Employees</t>
  </si>
  <si>
    <t>01.3590.04540.000.34100</t>
  </si>
  <si>
    <t>01.3420.03250.020.00000</t>
  </si>
  <si>
    <t>01.34x0…45800</t>
  </si>
  <si>
    <t>01.3810.03190.000.34100</t>
  </si>
  <si>
    <t>01.3830..220.32400</t>
  </si>
  <si>
    <t>01.4300.03190.000.19170</t>
  </si>
  <si>
    <t xml:space="preserve">budget code that can be looked up to find the balance.  </t>
  </si>
  <si>
    <t>Warehouse Vehicle Fuel</t>
  </si>
  <si>
    <t>01.3333.04540.350.34410</t>
  </si>
  <si>
    <t>Mail Room Vehicle Fuel</t>
  </si>
  <si>
    <t>01.3333.04540.350.34420</t>
  </si>
  <si>
    <t>01.1120..155.32100</t>
  </si>
  <si>
    <t>01.1130..155.32100</t>
  </si>
  <si>
    <t>01.3420..200.41000</t>
  </si>
  <si>
    <t>01.3420..xxx.41000</t>
  </si>
  <si>
    <t>01.2240..225.00000</t>
  </si>
  <si>
    <t>01.2117..225.32210</t>
  </si>
  <si>
    <t>01.3830.04110.350.35100</t>
  </si>
  <si>
    <t>01.4300.03190.155.34100</t>
  </si>
  <si>
    <t>CC Officials Assn,BookkeepingServices</t>
  </si>
  <si>
    <t>Buffalo Ridge</t>
  </si>
  <si>
    <t>01.3420.03405.004.00000</t>
  </si>
  <si>
    <t>- Special Education funded from General Fund &amp; "CAT" Fund employees are included</t>
  </si>
  <si>
    <t>1000 changes</t>
  </si>
  <si>
    <t>2000 changes</t>
  </si>
  <si>
    <t>3000 changes</t>
  </si>
  <si>
    <t>01.2110.0????.???.00000</t>
  </si>
  <si>
    <t>01.2123.0????.???.00000</t>
  </si>
  <si>
    <t>District Website Maintenance</t>
  </si>
  <si>
    <t>01.4300.03190.000.00000</t>
  </si>
  <si>
    <t>Infectious Disease</t>
  </si>
  <si>
    <t>Rural</t>
  </si>
  <si>
    <t>&lt;300</t>
  </si>
  <si>
    <t>301-375</t>
  </si>
  <si>
    <t>Secondary Allocations</t>
  </si>
  <si>
    <t>Nurse Supplies</t>
  </si>
  <si>
    <t>Base Allocation</t>
  </si>
  <si>
    <t>Elementary</t>
  </si>
  <si>
    <t>Junior Highs</t>
  </si>
  <si>
    <r>
      <t>Security alarm</t>
    </r>
    <r>
      <rPr>
        <sz val="11"/>
        <rFont val="Arial"/>
        <family val="2"/>
      </rPr>
      <t xml:space="preserve"> allocations are entered in 01.3460.03404.XXX.47000.  The Finance Department enters the purchase order for these charges on an annual basis.</t>
    </r>
  </si>
  <si>
    <t>3460..47000</t>
  </si>
  <si>
    <t>3420…41000</t>
  </si>
  <si>
    <t>01.3420.0XXXX.XXX.41000</t>
  </si>
  <si>
    <t>3420..41000</t>
  </si>
  <si>
    <t>01.3420..xxx.45xxx</t>
  </si>
  <si>
    <t>Accounting</t>
  </si>
  <si>
    <t>01.3460.03404.200.47000</t>
  </si>
  <si>
    <t>01.3460.03404.235.47000</t>
  </si>
  <si>
    <t>01.3460.03404.225.47000</t>
  </si>
  <si>
    <t>01.3460.03404.350.47000</t>
  </si>
  <si>
    <t>01.1100.04200.000.34100</t>
  </si>
  <si>
    <t>01.3510..32x.xxxxx</t>
  </si>
  <si>
    <t>01.1110.04100.029.01410</t>
  </si>
  <si>
    <t>Young Authors</t>
  </si>
  <si>
    <t>01.2240.05409.000.33100</t>
  </si>
  <si>
    <t>Virtual School</t>
  </si>
  <si>
    <t>NA</t>
  </si>
  <si>
    <t>Food Service "50" Fund-Budget Support</t>
  </si>
  <si>
    <t>Nurse LP Vehicle Fuel</t>
  </si>
  <si>
    <t>01.2132.04540.020.29230</t>
  </si>
  <si>
    <t>01.XXXX.03327.XXX.00000</t>
  </si>
  <si>
    <t>01.2111..000.00000</t>
  </si>
  <si>
    <t>01.1260.03405.000.29170</t>
  </si>
  <si>
    <t>01.2219..350.31500</t>
  </si>
  <si>
    <t>01.1110..029.03300</t>
  </si>
  <si>
    <t>07160</t>
  </si>
  <si>
    <t>Junior</t>
  </si>
  <si>
    <t>01.3830.03130.300.35300</t>
  </si>
  <si>
    <t>Social Norms Marketing</t>
  </si>
  <si>
    <t>Suicide Prevention</t>
  </si>
  <si>
    <t xml:space="preserve">   Building/Site Improvements (5000)</t>
  </si>
  <si>
    <t>VoTech</t>
  </si>
  <si>
    <t>VoTech Utilities</t>
  </si>
  <si>
    <t>01.3420.045xx.401.0000</t>
  </si>
  <si>
    <t>01.3420.045xx.230.00000</t>
  </si>
  <si>
    <t>Emp of Year, End of Service</t>
  </si>
  <si>
    <t>01.3830.04101.350.35211</t>
  </si>
  <si>
    <t>01.3550.038xx.320.00000</t>
  </si>
  <si>
    <r>
      <t xml:space="preserve">   </t>
    </r>
    <r>
      <rPr>
        <u/>
        <sz val="10"/>
        <rFont val="Arial"/>
        <family val="2"/>
      </rPr>
      <t xml:space="preserve">&lt; </t>
    </r>
    <r>
      <rPr>
        <sz val="10"/>
        <rFont val="Arial"/>
        <family val="2"/>
      </rPr>
      <t>249 Students</t>
    </r>
  </si>
  <si>
    <t>Support Staff</t>
  </si>
  <si>
    <t>01.1110.04110.029.32100</t>
  </si>
  <si>
    <t>01.1130.04110.155.32100</t>
  </si>
  <si>
    <t>01.2140.03900.225.00000</t>
  </si>
  <si>
    <t>01.3321.0????.???.31100</t>
  </si>
  <si>
    <t xml:space="preserve">   Admin column on the Baseline School Allocation worksheet.</t>
  </si>
  <si>
    <t>Elementary and Rural Allocations:</t>
  </si>
  <si>
    <t>250 or Less</t>
  </si>
  <si>
    <t>for each student over 250</t>
  </si>
  <si>
    <t>over 250</t>
  </si>
  <si>
    <t>01.1290.04110.101.16640</t>
  </si>
  <si>
    <t>01.1120.04100.101.29000</t>
  </si>
  <si>
    <t>01.1290.04100.102.16640</t>
  </si>
  <si>
    <t>01.1120.04100.102.29000</t>
  </si>
  <si>
    <t>01.1130.03190.152.29000</t>
  </si>
  <si>
    <t>01.1130.04100.152.17290</t>
  </si>
  <si>
    <t>01.1290.04100.152.16640</t>
  </si>
  <si>
    <t>01.3329.04100.152.19540</t>
  </si>
  <si>
    <t>01.1130.04100.151.19550</t>
  </si>
  <si>
    <t>01.1290.06400.151.16640</t>
  </si>
  <si>
    <t>01.1130.04100.151.29000</t>
  </si>
  <si>
    <t>01.3420.04107.151.41000</t>
  </si>
  <si>
    <t>01.1130.03600.150.17290</t>
  </si>
  <si>
    <t>01.1430.03322.150.17250</t>
  </si>
  <si>
    <t>01.2110.04100.150.16640</t>
  </si>
  <si>
    <t>01.1130.04100.150.29000</t>
  </si>
  <si>
    <t>01.3420.04100.153.41000</t>
  </si>
  <si>
    <t>01.2132.04100.000.29230</t>
  </si>
  <si>
    <t>Safety (Maintenance)</t>
  </si>
  <si>
    <t>Blackboard Connect Software/Maintenance</t>
  </si>
  <si>
    <t>Nurse EpiPen Program</t>
  </si>
  <si>
    <t>01.3590.04101.320.44???</t>
  </si>
  <si>
    <t>Special Programs</t>
  </si>
  <si>
    <t>Technology</t>
  </si>
  <si>
    <t>School Site Leases:</t>
  </si>
  <si>
    <t>Supplies</t>
  </si>
  <si>
    <t>Recreation</t>
  </si>
  <si>
    <t>Travel</t>
  </si>
  <si>
    <t>Add'l Custodial Supplies</t>
  </si>
  <si>
    <t>- Positions paid with part grant money are counted as actual FTE</t>
  </si>
  <si>
    <t>- Part time positions are counted as actual FTE</t>
  </si>
  <si>
    <t>- Employees with multiple assignments are counted as actual FTE</t>
  </si>
  <si>
    <t>Loc. 225</t>
  </si>
  <si>
    <t xml:space="preserve">   Secondary Principals &amp; Custodial Cell phones are to come from their respective budgets.</t>
  </si>
  <si>
    <t>(Page 14)</t>
  </si>
  <si>
    <t>Kid Clinic</t>
  </si>
  <si>
    <t>Vitual (tuition 03710)</t>
  </si>
  <si>
    <t>C:  Transportation - Liz &amp; Keith</t>
  </si>
  <si>
    <t>Olweus Bullying Program</t>
  </si>
  <si>
    <t xml:space="preserve">Indirect </t>
  </si>
  <si>
    <t>01.3460.04110.350.44500</t>
  </si>
  <si>
    <t>01.3420.045x0.320.00000</t>
  </si>
  <si>
    <t>Deputy Superintendent</t>
  </si>
  <si>
    <t>01.3830.03190.350.35200</t>
  </si>
  <si>
    <t>01.3830.03190.000.35240</t>
  </si>
  <si>
    <t>01.3830.03130.350.35300</t>
  </si>
  <si>
    <t xml:space="preserve">    Antelope Valley Land Taxes</t>
  </si>
  <si>
    <t>01.2171.04100.029.09160</t>
  </si>
  <si>
    <t>S'cool Moves</t>
  </si>
  <si>
    <t>Activity Vehicle Property Insurance</t>
  </si>
  <si>
    <t>Nonhazardous Workers Comp</t>
  </si>
  <si>
    <t>01.2221..205.00000</t>
  </si>
  <si>
    <t>01.2223..205.00000</t>
  </si>
  <si>
    <t>Kid Clinic Utilities</t>
  </si>
  <si>
    <t>Concurrent Enrollment</t>
  </si>
  <si>
    <t>01.1135.03700.155.32710</t>
  </si>
  <si>
    <t>Stocktrail</t>
  </si>
  <si>
    <t>01.3420.03405.016.00000</t>
  </si>
  <si>
    <t>- ESP Staff #s exclude all full time Grant Funded, Food Service, and student employees.</t>
  </si>
  <si>
    <t>Guidance-Student Support Services</t>
  </si>
  <si>
    <t>Social Worker-Student Support Services</t>
  </si>
  <si>
    <t>01.2222.07000.000.34100</t>
  </si>
  <si>
    <t>01.3440..220.33300</t>
  </si>
  <si>
    <t>Gillette Building Costs</t>
  </si>
  <si>
    <t>SPED ADVANTAGE</t>
  </si>
  <si>
    <t>01.2115.03150.000.32200</t>
  </si>
  <si>
    <t>01.2115..225.00000</t>
  </si>
  <si>
    <t>Psych Testing</t>
  </si>
  <si>
    <t>01.3420.0340x.151.00000</t>
  </si>
  <si>
    <t>01.3420.0340x.150.00000</t>
  </si>
  <si>
    <t>01.3420.0340x.101.00000</t>
  </si>
  <si>
    <t>District Attendance Officer</t>
  </si>
  <si>
    <t>01.4300.03320..19160</t>
  </si>
  <si>
    <t>4J Rental</t>
  </si>
  <si>
    <t>(Page 13)</t>
  </si>
  <si>
    <t>(Page 12)</t>
  </si>
  <si>
    <t>Safety/At Risk Manager</t>
  </si>
  <si>
    <t>Contingency for Vehicle Fuel (controlled by finance)</t>
  </si>
  <si>
    <t>Overages coverd by Department budget, not covered by Fuel Contingency</t>
  </si>
  <si>
    <t>01.1100.04100..34100</t>
  </si>
  <si>
    <t>01.2213.06400.350.32420</t>
  </si>
  <si>
    <t>01.3420..350.41000</t>
  </si>
  <si>
    <t>Instructional</t>
  </si>
  <si>
    <t>Facilitator</t>
  </si>
  <si>
    <r>
      <t>Activity</t>
    </r>
    <r>
      <rPr>
        <sz val="11"/>
        <rFont val="Arial"/>
        <family val="2"/>
      </rPr>
      <t xml:space="preserve"> funds are entered at the building's discretion in the 01.14X0 function.</t>
    </r>
  </si>
  <si>
    <t>NOTE:  This is a detail page only.  The information is included in the Baseline School Allocation worksheet under the School Imrovement column.</t>
  </si>
  <si>
    <t>1) FY17 Stocktrail added</t>
  </si>
  <si>
    <t>2) FY17 10% cut</t>
  </si>
  <si>
    <t>Junior High:</t>
  </si>
  <si>
    <t>Allocation/Building</t>
  </si>
  <si>
    <t>Object 03000-06999 Per Student Allocations:</t>
  </si>
  <si>
    <t>Rural:</t>
  </si>
  <si>
    <r>
      <t>See Departments - Activities Tab</t>
    </r>
    <r>
      <rPr>
        <sz val="8"/>
        <color rgb="FF0000FF"/>
        <rFont val="Arial"/>
        <family val="2"/>
      </rPr>
      <t xml:space="preserve"> (pg. 28)</t>
    </r>
  </si>
  <si>
    <r>
      <t>See Departments - Activities Tab</t>
    </r>
    <r>
      <rPr>
        <sz val="9"/>
        <color rgb="FF0000FF"/>
        <rFont val="Arial"/>
        <family val="2"/>
      </rPr>
      <t xml:space="preserve"> </t>
    </r>
    <r>
      <rPr>
        <sz val="8"/>
        <color rgb="FF0000FF"/>
        <rFont val="Arial"/>
        <family val="2"/>
      </rPr>
      <t>(pg. 28)</t>
    </r>
  </si>
  <si>
    <t>Post Offer Physicals &amp; Pulmonary Function Testing</t>
  </si>
  <si>
    <t>Drama Club</t>
  </si>
  <si>
    <t>Total for Schools</t>
  </si>
  <si>
    <t>Total All SPED</t>
  </si>
  <si>
    <t>Add: Per Student</t>
  </si>
  <si>
    <t>Rural Schools</t>
  </si>
  <si>
    <t>Curriculum Replacement Ed Plan K-6 Language Arts -implement over time</t>
  </si>
  <si>
    <t>Fixed Asset Management</t>
  </si>
  <si>
    <t>01.3331..350.34401</t>
  </si>
  <si>
    <t>2173</t>
  </si>
  <si>
    <t>01.11XX.XXXXX.XXX.29110</t>
  </si>
  <si>
    <t>01.6100..320.44998</t>
  </si>
  <si>
    <r>
      <t>Certified &amp; ESP Professional Development</t>
    </r>
    <r>
      <rPr>
        <sz val="11"/>
        <rFont val="Arial"/>
        <family val="2"/>
      </rPr>
      <t>.  The certified allocation includes travel for the principal.  The ESP allocation is placed in the 3830 function for allocation purposes</t>
    </r>
    <r>
      <rPr>
        <b/>
        <sz val="11"/>
        <rFont val="Arial"/>
        <family val="2"/>
      </rPr>
      <t xml:space="preserve"> only</t>
    </r>
    <r>
      <rPr>
        <sz val="11"/>
        <rFont val="Arial"/>
        <family val="2"/>
      </rPr>
      <t>.  Funds should be transferred to the appropriate function as they are used.</t>
    </r>
  </si>
  <si>
    <t xml:space="preserve">   CCHS/TB</t>
  </si>
  <si>
    <t xml:space="preserve">   High Schools</t>
  </si>
  <si>
    <t>TBHS</t>
  </si>
  <si>
    <t>01.2132.03850.000.00000</t>
  </si>
  <si>
    <t>Software Product Support Contracts</t>
  </si>
  <si>
    <t>Records Software</t>
  </si>
  <si>
    <t>School Resource Officer Training</t>
  </si>
  <si>
    <t>Note 1: FY17 Stocktrail added</t>
  </si>
  <si>
    <t>Note 2: FY18 Thunder Basin added</t>
  </si>
  <si>
    <t>Note 3: FY18 9th graders moved from Jr High to Sr High</t>
  </si>
  <si>
    <t>3) FY18 rounded to nearest ten</t>
  </si>
  <si>
    <t>Nurse</t>
  </si>
  <si>
    <t>CCHS/TBHS</t>
  </si>
  <si>
    <t>Junior Highs &amp; High Schools</t>
  </si>
  <si>
    <t>CW Vehicle Fuel</t>
  </si>
  <si>
    <t>WE Vehicle Fuel</t>
  </si>
  <si>
    <t>LP Instruction Vehicle Fuel</t>
  </si>
  <si>
    <t>RE Instruction Vehicle Fuel</t>
  </si>
  <si>
    <t>Rural Boys/Girls Basketball</t>
  </si>
  <si>
    <t>01.1420..029.17021/17022</t>
  </si>
  <si>
    <t>01.1430.03323.155.17720</t>
  </si>
  <si>
    <t>Kid Clinic Security/Panic Alarm</t>
  </si>
  <si>
    <t>01.3460.03404.230.47000</t>
  </si>
  <si>
    <t>Employee Evaluation System</t>
  </si>
  <si>
    <t>01.3430.06003.000.49000</t>
  </si>
  <si>
    <t>01.3321.04540.031.31100</t>
  </si>
  <si>
    <t>RE Principal Fuel</t>
  </si>
  <si>
    <t>4J Principal Fuel</t>
  </si>
  <si>
    <t>LP Principal Fuel</t>
  </si>
  <si>
    <t>01.3321.04540.022.31100</t>
  </si>
  <si>
    <t>TBHS Vehicle Fuel</t>
  </si>
  <si>
    <t>01.3321.04540.153.31100</t>
  </si>
  <si>
    <t xml:space="preserve"> the hourly rate for chargeable field trips is $35.00 per hour.</t>
  </si>
  <si>
    <t>01.1210.03327.225.00000</t>
  </si>
  <si>
    <t>01.2115.03327.225.00000</t>
  </si>
  <si>
    <t>01.2140.03327.225.00000</t>
  </si>
  <si>
    <t>01.2152.03327.225.00000</t>
  </si>
  <si>
    <t>01.2153.03327.225.00000</t>
  </si>
  <si>
    <t>01.2171.03327.225.00000</t>
  </si>
  <si>
    <t>Physical Therapy Fuel</t>
  </si>
  <si>
    <t>01.2172.04540.225.00000</t>
  </si>
  <si>
    <t>APE Fuel</t>
  </si>
  <si>
    <t>01.1210.04540.225.20100</t>
  </si>
  <si>
    <t>CCHS Activities Vehicle Fuel</t>
  </si>
  <si>
    <t>TBHS Activities Vehicle Fuel</t>
  </si>
  <si>
    <t>01.1400.07001.000.69000</t>
  </si>
  <si>
    <t>Activities Capital Equipment-Lump sum</t>
  </si>
  <si>
    <t>Aquatic Center Competition</t>
  </si>
  <si>
    <t>CCHS Activities</t>
  </si>
  <si>
    <t>01.1430.03405.151.31200</t>
  </si>
  <si>
    <t>TBHS Activities</t>
  </si>
  <si>
    <t>01.1430.03405.153.31200</t>
  </si>
  <si>
    <t>DISTRICT ACTIVITIES</t>
  </si>
  <si>
    <t>Total Instruction fees Allocation</t>
  </si>
  <si>
    <t>01.1130.04100.153.19550</t>
  </si>
  <si>
    <t>01.1430.04100.153.17290</t>
  </si>
  <si>
    <t>01.1430.04100.151.17290</t>
  </si>
  <si>
    <t>01.1530.04100.151.16720</t>
  </si>
  <si>
    <t>01.1530.04100.153.16720</t>
  </si>
  <si>
    <t>01.1290.06400.153.16640</t>
  </si>
  <si>
    <t>01.1130.04100.153.29000</t>
  </si>
  <si>
    <t>Transportation-Gillette</t>
  </si>
  <si>
    <t>Transportation-Wright</t>
  </si>
  <si>
    <t>01.3420.0340x.102.00000</t>
  </si>
  <si>
    <r>
      <t xml:space="preserve">CTE (Secondary) </t>
    </r>
    <r>
      <rPr>
        <sz val="11"/>
        <rFont val="Arial"/>
        <family val="2"/>
      </rPr>
      <t>- Funds are entered at the building's discretion in the 01.1530. funciton with program codes 16XXX.</t>
    </r>
  </si>
  <si>
    <t>Tuition</t>
  </si>
  <si>
    <t>01.1810.03710.003.00000</t>
  </si>
  <si>
    <t>MT Security/Panic Alarm</t>
  </si>
  <si>
    <t>01.3460.03404.315.47000</t>
  </si>
  <si>
    <t>01.1430.04540.151.31200</t>
  </si>
  <si>
    <t>01.1430.04540.153.31200</t>
  </si>
  <si>
    <t>29110</t>
  </si>
  <si>
    <t>4) FY18 5% cut</t>
  </si>
  <si>
    <t>Secondary Allocations $15.25 except:</t>
  </si>
  <si>
    <t xml:space="preserve">   CCHS-TBHS</t>
  </si>
  <si>
    <t>Elementary Summer School</t>
  </si>
  <si>
    <t>01.1265.04100.029.29150</t>
  </si>
  <si>
    <t>01.1265..029.29150</t>
  </si>
  <si>
    <t>Secondary Summer School</t>
  </si>
  <si>
    <t>01.1265..155.29150</t>
  </si>
  <si>
    <t>VoTech Taxes</t>
  </si>
  <si>
    <t>01.3420.06003.401.49000</t>
  </si>
  <si>
    <t>Atlas</t>
  </si>
  <si>
    <t>Construction Class</t>
  </si>
  <si>
    <t>For Community Building Use</t>
  </si>
  <si>
    <t>Community Resource</t>
  </si>
  <si>
    <t>Reasoning</t>
  </si>
  <si>
    <t>Instruction Fee Formula- add'l in lieu of students paying class fees for Art, CTE, etc. CCSD doesn't charge students.</t>
  </si>
  <si>
    <t>and schools will be allocated additional funds for any students above the projected</t>
  </si>
  <si>
    <t>number in the same manner.</t>
  </si>
  <si>
    <t>DISTRICT</t>
  </si>
  <si>
    <t>SUPPLEMENT NOT SUPPLANT CALCULATION SUMMARY</t>
  </si>
  <si>
    <t xml:space="preserve">Title I-A </t>
  </si>
  <si>
    <t>Other Obj. 03000-06999</t>
  </si>
  <si>
    <t>Add'l Special Programs</t>
  </si>
  <si>
    <t>ESL Program</t>
  </si>
  <si>
    <t>Certified Prof.</t>
  </si>
  <si>
    <t>Classified Prof.</t>
  </si>
  <si>
    <t>Blood Borne Path</t>
  </si>
  <si>
    <t>SED,MAR,JK,LD,HI,SPEECH</t>
  </si>
  <si>
    <t>Development</t>
  </si>
  <si>
    <t>additional info</t>
  </si>
  <si>
    <t xml:space="preserve">Per Student </t>
  </si>
  <si>
    <t>Base + Per Student</t>
  </si>
  <si>
    <t>Base + Per Student over 250</t>
  </si>
  <si>
    <t>Base</t>
  </si>
  <si>
    <t>Per secondary student</t>
  </si>
  <si>
    <t>base allocation</t>
  </si>
  <si>
    <t>per student</t>
  </si>
  <si>
    <t>per sq. ft</t>
  </si>
  <si>
    <t>per classroom</t>
  </si>
  <si>
    <t>City Elementary</t>
  </si>
  <si>
    <t>$109.66 + $0.86/student</t>
  </si>
  <si>
    <t>$3078 + $6.15/student over 250</t>
  </si>
  <si>
    <t>0-249 = $461, 250+ = $658</t>
  </si>
  <si>
    <t>N/A</t>
  </si>
  <si>
    <t>0.034243/ sq. ft.</t>
  </si>
  <si>
    <t>See pg for breakdown</t>
  </si>
  <si>
    <t>yes</t>
  </si>
  <si>
    <t>no</t>
  </si>
  <si>
    <t>Total City Elementary</t>
  </si>
  <si>
    <t>$217.77 + $0.86/student</t>
  </si>
  <si>
    <t>300+ = $15.25</t>
  </si>
  <si>
    <t>$4230 + $9.23/student over 250</t>
  </si>
  <si>
    <t>$213.15 + $0.86/student</t>
  </si>
  <si>
    <t>$55.40 + $0.86/student</t>
  </si>
  <si>
    <t>$63.87 + $0.86/student</t>
  </si>
  <si>
    <t>sheet 4</t>
  </si>
  <si>
    <t>sheet 6</t>
  </si>
  <si>
    <t>sheet 7</t>
  </si>
  <si>
    <t>sheet 8</t>
  </si>
  <si>
    <t>sheet 9</t>
  </si>
  <si>
    <t>sheet 10</t>
  </si>
  <si>
    <t>sheet 11</t>
  </si>
  <si>
    <t>sheet 12</t>
  </si>
  <si>
    <t>sheet 13</t>
  </si>
  <si>
    <t xml:space="preserve">School Improvement </t>
  </si>
  <si>
    <t>Calculation Method</t>
  </si>
  <si>
    <t>Junior High</t>
  </si>
  <si>
    <t xml:space="preserve">Senior High </t>
  </si>
  <si>
    <t xml:space="preserve"> Jr/Sr High combined</t>
  </si>
  <si>
    <t xml:space="preserve">Alternative Sr. High </t>
  </si>
  <si>
    <t>Total Allocation</t>
  </si>
  <si>
    <t>To Schools</t>
  </si>
  <si>
    <t>Wright Jr/Sr. High</t>
  </si>
  <si>
    <t>tuition</t>
  </si>
  <si>
    <t>pays for all cap &amp; gown, tassels for students</t>
  </si>
  <si>
    <t>Allocation Category</t>
  </si>
  <si>
    <t xml:space="preserve">Administration </t>
  </si>
  <si>
    <t>Custodial per Pupil</t>
  </si>
  <si>
    <t>Baseline Instruction</t>
  </si>
  <si>
    <t xml:space="preserve">Library/Media </t>
  </si>
  <si>
    <t>0-299 = $21.40</t>
  </si>
  <si>
    <t>0-300=$120.81, 301-375=$166.21</t>
  </si>
  <si>
    <t>376-450=$210.84, 450+ = $256.24</t>
  </si>
  <si>
    <t>Add'l Programs</t>
  </si>
  <si>
    <t>base per program</t>
  </si>
  <si>
    <t>Total Senior High</t>
  </si>
  <si>
    <t>376-430</t>
  </si>
  <si>
    <t>&gt;430</t>
  </si>
  <si>
    <t>Kindergarten</t>
  </si>
  <si>
    <t>Teacher</t>
  </si>
  <si>
    <t>First Grade</t>
  </si>
  <si>
    <t xml:space="preserve">Second Grade </t>
  </si>
  <si>
    <t>Third Grade</t>
  </si>
  <si>
    <t>Fourth Grade</t>
  </si>
  <si>
    <t>Fifth Grade</t>
  </si>
  <si>
    <t>Sixth Grade</t>
  </si>
  <si>
    <t>1 FTE/ 20 students</t>
  </si>
  <si>
    <t>1 FTE/ 21 students</t>
  </si>
  <si>
    <t>1 FTE/ 22 students</t>
  </si>
  <si>
    <t>1 FTE/ 23 students</t>
  </si>
  <si>
    <t>1 FTE/ 24 students</t>
  </si>
  <si>
    <t>1 FTE/ 25 students</t>
  </si>
  <si>
    <t>1 FTE/ 26 students</t>
  </si>
  <si>
    <t>Art/PE/Music</t>
  </si>
  <si>
    <t>1 FTE each over 250</t>
  </si>
  <si>
    <t>under 250 share w/rural</t>
  </si>
  <si>
    <t>Gifted &amp; Talented</t>
  </si>
  <si>
    <t>Library/ Media</t>
  </si>
  <si>
    <t>Specialist</t>
  </si>
  <si>
    <t>Shared personnel</t>
  </si>
  <si>
    <t>.5 FTE average</t>
  </si>
  <si>
    <t>Social Worker</t>
  </si>
  <si>
    <t>Reading</t>
  </si>
  <si>
    <t xml:space="preserve"> Interventionist</t>
  </si>
  <si>
    <t xml:space="preserve">Instructional </t>
  </si>
  <si>
    <t xml:space="preserve">1 FTE </t>
  </si>
  <si>
    <t>1 FTE</t>
  </si>
  <si>
    <t>Guidance Counselor</t>
  </si>
  <si>
    <t>Principal</t>
  </si>
  <si>
    <t>Certifited</t>
  </si>
  <si>
    <t>1 FTE over 300 students</t>
  </si>
  <si>
    <t>classified</t>
  </si>
  <si>
    <t>Assistant</t>
  </si>
  <si>
    <t>section</t>
  </si>
  <si>
    <t>FTE/ grade level</t>
  </si>
  <si>
    <t>School Name</t>
  </si>
  <si>
    <t>K</t>
  </si>
  <si>
    <t>1st</t>
  </si>
  <si>
    <t>2nd</t>
  </si>
  <si>
    <t>3rd</t>
  </si>
  <si>
    <t>4th</t>
  </si>
  <si>
    <t>5th</t>
  </si>
  <si>
    <t>6th</t>
  </si>
  <si>
    <t># Sections</t>
  </si>
  <si>
    <t>Instructional Hours</t>
    <phoneticPr fontId="0" type="noConversion"/>
  </si>
  <si>
    <t>FTE</t>
  </si>
  <si>
    <t>Hours/Section</t>
  </si>
  <si>
    <t>Conestoga</t>
    <phoneticPr fontId="0" type="noConversion"/>
  </si>
  <si>
    <t>Cottonwood</t>
    <phoneticPr fontId="0" type="noConversion"/>
  </si>
  <si>
    <t>Hillcrest*</t>
  </si>
  <si>
    <t>Lakeview*</t>
  </si>
  <si>
    <t>Meadowlark</t>
    <phoneticPr fontId="0" type="noConversion"/>
  </si>
  <si>
    <t>Paintbrush*</t>
  </si>
  <si>
    <t>Prairie Wind</t>
    <phoneticPr fontId="0" type="noConversion"/>
  </si>
  <si>
    <t>Pronghorn*</t>
  </si>
  <si>
    <t>Rawhide*</t>
  </si>
  <si>
    <t>Rozet</t>
    <phoneticPr fontId="0" type="noConversion"/>
  </si>
  <si>
    <t>Stocktrail*</t>
  </si>
  <si>
    <t>Sunflower*</t>
  </si>
  <si>
    <t>Wagonwheel</t>
    <phoneticPr fontId="0" type="noConversion"/>
  </si>
  <si>
    <t>*Junior K (7 Sites)</t>
  </si>
  <si>
    <t>Classified</t>
  </si>
  <si>
    <t>page 2</t>
  </si>
  <si>
    <t>additional information</t>
  </si>
  <si>
    <t>1 FTE each</t>
  </si>
  <si>
    <t>Data Clerk*</t>
  </si>
  <si>
    <t>Secretary/Office Clerk</t>
  </si>
  <si>
    <t xml:space="preserve">Behavior </t>
  </si>
  <si>
    <t>0.875 FTE</t>
  </si>
  <si>
    <t xml:space="preserve">Based on </t>
  </si>
  <si>
    <t>sq. ft.</t>
  </si>
  <si>
    <t xml:space="preserve">Special </t>
  </si>
  <si>
    <t>Programs</t>
  </si>
  <si>
    <t>and need</t>
  </si>
  <si>
    <t>Cottonwood- Wright, WY</t>
  </si>
  <si>
    <t>page 3</t>
  </si>
  <si>
    <t>Misc. Allocations</t>
  </si>
  <si>
    <t>sheet 14</t>
  </si>
  <si>
    <t>sheet 15</t>
  </si>
  <si>
    <t>sheet 16</t>
  </si>
  <si>
    <t>District programs</t>
  </si>
  <si>
    <t>District Program</t>
  </si>
  <si>
    <t>English</t>
  </si>
  <si>
    <t>Social Studies</t>
  </si>
  <si>
    <t>Math</t>
  </si>
  <si>
    <t>Science</t>
  </si>
  <si>
    <t>Physical Ed</t>
  </si>
  <si>
    <t>Health Ed</t>
  </si>
  <si>
    <t xml:space="preserve">Reading </t>
  </si>
  <si>
    <t>core</t>
  </si>
  <si>
    <t>Art</t>
  </si>
  <si>
    <t>Elective</t>
  </si>
  <si>
    <t>Technology CTE</t>
  </si>
  <si>
    <t>Business</t>
  </si>
  <si>
    <t>FACS</t>
  </si>
  <si>
    <t>Music</t>
  </si>
  <si>
    <t>Administration</t>
  </si>
  <si>
    <t>certified</t>
  </si>
  <si>
    <t>Clerical</t>
  </si>
  <si>
    <t>certifited</t>
  </si>
  <si>
    <t>Aides</t>
  </si>
  <si>
    <t>TOTAL FTE TO</t>
  </si>
  <si>
    <t xml:space="preserve">ELEMENTARY </t>
  </si>
  <si>
    <t>SCHOOLS</t>
  </si>
  <si>
    <t xml:space="preserve">TOTAL FTE TO </t>
  </si>
  <si>
    <t>JR. HIGHS</t>
  </si>
  <si>
    <t>Librarian/</t>
  </si>
  <si>
    <t>Senior High</t>
  </si>
  <si>
    <t>Campbell County</t>
  </si>
  <si>
    <t>Thunder Basin</t>
  </si>
  <si>
    <t>Foreign Language</t>
  </si>
  <si>
    <t>Driver's Ed</t>
  </si>
  <si>
    <t>CTE</t>
  </si>
  <si>
    <t>Athletic Trainer</t>
  </si>
  <si>
    <t>Alternative Sr. High</t>
  </si>
  <si>
    <t>Jr/Sr. High Combined</t>
  </si>
  <si>
    <t>Detention Center</t>
  </si>
  <si>
    <t>Youth Emergency Ser.</t>
  </si>
  <si>
    <t>50% fed. Funded</t>
  </si>
  <si>
    <t>Total Alternative</t>
  </si>
  <si>
    <t>Total Jr/Sr High</t>
  </si>
  <si>
    <t>Rolls</t>
  </si>
  <si>
    <t>City Schools</t>
  </si>
  <si>
    <t># students</t>
  </si>
  <si>
    <t># sections</t>
  </si>
  <si>
    <t>FY19</t>
  </si>
  <si>
    <t xml:space="preserve">kindergarten students.  Recalculation for actual enrollment happens on Oct. 1, 2018 </t>
  </si>
  <si>
    <t xml:space="preserve">   Nurse column on the NON Salary &amp; Benefit Summary sheet</t>
  </si>
  <si>
    <t>01.3420.03405.031.00000</t>
  </si>
  <si>
    <t>01.3420.03405.020.00000</t>
  </si>
  <si>
    <t>01.3420.03405.022.00000</t>
  </si>
  <si>
    <t>Note:  This is a detail page only.  Amounts listed below are included in the Utilities columns on the Baseline School Allocations and Department worksheets under Utilities column.</t>
  </si>
  <si>
    <t xml:space="preserve">   State/ National Travel</t>
  </si>
  <si>
    <t>Destiny License</t>
  </si>
  <si>
    <t>Business Manager</t>
  </si>
  <si>
    <t>01.3330..350.34105</t>
  </si>
  <si>
    <t>Student of the Week ad</t>
  </si>
  <si>
    <t>01.4300.03500.155.00000</t>
  </si>
  <si>
    <t>Fuel Allocations - See Fuel Tab</t>
  </si>
  <si>
    <t>Mileage Allocations - See Mileage Tab</t>
  </si>
  <si>
    <t xml:space="preserve">Science Center (include water softener) </t>
  </si>
  <si>
    <t xml:space="preserve"> Addt'l $1750 for Small School (&lt;25) Base Allocation included</t>
  </si>
  <si>
    <t>0-249 = $159</t>
  </si>
  <si>
    <t>Class fee</t>
  </si>
  <si>
    <t>0-200=$18.90, 201-299=$14.80</t>
  </si>
  <si>
    <t>300+ = $13.10</t>
  </si>
  <si>
    <t>per FY18 Cert. FTE</t>
  </si>
  <si>
    <t>per FY18 ESP FTE</t>
  </si>
  <si>
    <r>
      <t>School Improvement</t>
    </r>
    <r>
      <rPr>
        <sz val="11"/>
        <rFont val="Arial"/>
        <family val="2"/>
      </rPr>
      <t xml:space="preserve"> allocations  are to be entered with program code 29110.</t>
    </r>
  </si>
  <si>
    <r>
      <t>Capital Equipment</t>
    </r>
    <r>
      <rPr>
        <sz val="11"/>
        <rFont val="Arial"/>
        <family val="2"/>
      </rPr>
      <t xml:space="preserve"> allocations </t>
    </r>
    <r>
      <rPr>
        <sz val="11"/>
        <color rgb="FFFF0000"/>
        <rFont val="Arial"/>
        <family val="2"/>
      </rPr>
      <t xml:space="preserve"> </t>
    </r>
    <r>
      <rPr>
        <sz val="11"/>
        <rFont val="Arial"/>
        <family val="2"/>
      </rPr>
      <t>are to be entered in 01.XXXX.04180.XXX.XXXXX.  These funds should be used for repair or replacement of capital equipment.  Please budget equipment replacement in the appropriate budget code.  I.e. vacuums would be budgeted in 01.3420.04180.xxx.41000 - custodial</t>
    </r>
  </si>
  <si>
    <r>
      <t>Miscellaneous School Allocations</t>
    </r>
    <r>
      <rPr>
        <sz val="11"/>
        <rFont val="Arial"/>
        <family val="2"/>
      </rPr>
      <t xml:space="preserve">  - Some items included in this allocations are for specific items.  Other allocations may be placed in codes the school determines.  If there is a budget code beside the item, please enter the allocation as such.</t>
    </r>
  </si>
  <si>
    <r>
      <t>Mileage</t>
    </r>
    <r>
      <rPr>
        <sz val="11"/>
        <rFont val="Arial"/>
        <family val="2"/>
      </rPr>
      <t xml:space="preserve">  allocations need to be entered in the budget codes indicated.</t>
    </r>
  </si>
  <si>
    <r>
      <t>Special Program</t>
    </r>
    <r>
      <rPr>
        <sz val="11"/>
        <rFont val="Arial"/>
        <family val="2"/>
      </rPr>
      <t xml:space="preserve"> allocations  must be entered in the budget codes listed on the special programs allocation sheet.  The building may increase, but not decrease, the amount entered into special program budgets if they so desire.</t>
    </r>
  </si>
  <si>
    <r>
      <t>Library/Media</t>
    </r>
    <r>
      <rPr>
        <sz val="11"/>
        <rFont val="Arial"/>
        <family val="2"/>
      </rPr>
      <t xml:space="preserve"> allocations  should be split between functions 2222-Library and 2223-Audio/Visual, as appropriate for the purchases being made.</t>
    </r>
  </si>
  <si>
    <r>
      <t>Telephone</t>
    </r>
    <r>
      <rPr>
        <sz val="11"/>
        <rFont val="Arial"/>
        <family val="2"/>
      </rPr>
      <t xml:space="preserve"> Allocations  should be entered in the 01.3420.03405.XXX.00000 accounts.  Buildings with allocations for cellular phones should enter those into the account number shown on</t>
    </r>
    <r>
      <rPr>
        <sz val="11"/>
        <color rgb="FFFF0000"/>
        <rFont val="Arial"/>
        <family val="2"/>
      </rPr>
      <t xml:space="preserve"> </t>
    </r>
    <r>
      <rPr>
        <sz val="11"/>
        <rFont val="Arial"/>
        <family val="2"/>
      </rPr>
      <t>page 21.  Note:  Some cellular phone expenses are the responsibility of the "Building" rather than the "District."  Therefore not all telephone budgets are listed on page 21.</t>
    </r>
  </si>
  <si>
    <r>
      <t>Utility</t>
    </r>
    <r>
      <rPr>
        <sz val="11"/>
        <rFont val="Arial"/>
        <family val="2"/>
      </rPr>
      <t xml:space="preserve"> allocations  should be entered in the 3420 function and broken out by object as indicated on the utility allocation sheet.</t>
    </r>
  </si>
  <si>
    <t>Wright Jr/Sr High</t>
  </si>
  <si>
    <t>*Data clerk over 400</t>
  </si>
  <si>
    <t>0.875 FTE each</t>
  </si>
  <si>
    <t>Librarian/Transitional/</t>
  </si>
  <si>
    <t xml:space="preserve">Total </t>
  </si>
  <si>
    <t>Sections</t>
  </si>
  <si>
    <t xml:space="preserve">Average </t>
  </si>
  <si>
    <t>Classize</t>
  </si>
  <si>
    <t>SR. HIGHS</t>
  </si>
  <si>
    <t>Alt. SR. HIGHS</t>
  </si>
  <si>
    <t>JR/SR. HIGHS</t>
  </si>
  <si>
    <t>2019-20</t>
  </si>
  <si>
    <t>FY20</t>
  </si>
  <si>
    <t>FY2020</t>
  </si>
  <si>
    <r>
      <t xml:space="preserve">2019-2020 Budget </t>
    </r>
    <r>
      <rPr>
        <b/>
        <sz val="14"/>
        <rFont val="Arial"/>
        <family val="2"/>
      </rPr>
      <t>Notes</t>
    </r>
  </si>
  <si>
    <t>Calculations are based on enrollment on 10/1/18 and projected number of incoming</t>
  </si>
  <si>
    <t>FY2020 Enrollment Projection</t>
  </si>
  <si>
    <t>5th/6th grade track meet ribbons</t>
  </si>
  <si>
    <t>01.1110.04101.027.05110</t>
  </si>
  <si>
    <t>Softball implementation funds</t>
  </si>
  <si>
    <t>01.1430.07001.155.69000</t>
  </si>
  <si>
    <t>WELLNESS</t>
  </si>
  <si>
    <t>OCCUPATIONAL THERAPY</t>
  </si>
  <si>
    <t>PHYSICAL THERAPY</t>
  </si>
  <si>
    <t>Director of Technology</t>
  </si>
  <si>
    <t>HOPE Squad</t>
  </si>
  <si>
    <t>01.1260..155.29104</t>
  </si>
  <si>
    <t>Schoolhouse Financial Consulting</t>
  </si>
  <si>
    <t>01.3330.03190.350.34100</t>
  </si>
  <si>
    <t>Audiology</t>
  </si>
  <si>
    <t>STUDENT SUPPORT SERVICES</t>
  </si>
  <si>
    <t>Here Comes the Bus</t>
  </si>
  <si>
    <t>01.3510..320.44300</t>
  </si>
  <si>
    <t>Visa Support Fee</t>
  </si>
  <si>
    <t>01.3830.03130..34100</t>
  </si>
  <si>
    <t>1 FTE each over 275</t>
  </si>
  <si>
    <t>under 275 share w/rural</t>
  </si>
  <si>
    <t>.5 FTE each over 275</t>
  </si>
  <si>
    <t>Technology/Library</t>
  </si>
  <si>
    <t>ESL Teacher</t>
  </si>
  <si>
    <t>Cert/Classified</t>
  </si>
  <si>
    <t>as needed</t>
  </si>
  <si>
    <t>district program</t>
  </si>
  <si>
    <t>includes district programs</t>
  </si>
  <si>
    <t>Science/ STEM</t>
  </si>
  <si>
    <t>Elementary Section Report for 2020-21 by Grade as of 5/19/20</t>
  </si>
  <si>
    <r>
      <rPr>
        <b/>
        <sz val="14"/>
        <rFont val="Arial"/>
        <family val="2"/>
      </rPr>
      <t xml:space="preserve">2020-2021 Enrollment </t>
    </r>
    <r>
      <rPr>
        <b/>
        <sz val="12"/>
        <rFont val="Arial"/>
        <family val="2"/>
      </rPr>
      <t>Projection</t>
    </r>
  </si>
  <si>
    <t>FY21</t>
  </si>
  <si>
    <t>MAP</t>
  </si>
  <si>
    <t>Behavior</t>
  </si>
  <si>
    <t>209xx</t>
  </si>
  <si>
    <t>Voc/Ind.</t>
  </si>
  <si>
    <t>Living</t>
  </si>
  <si>
    <t>Psych.</t>
  </si>
  <si>
    <r>
      <t xml:space="preserve">2020-2021 </t>
    </r>
    <r>
      <rPr>
        <b/>
        <sz val="14"/>
        <rFont val="Arial"/>
        <family val="2"/>
      </rPr>
      <t>ACTIVITIES</t>
    </r>
    <r>
      <rPr>
        <b/>
        <sz val="12"/>
        <rFont val="Arial"/>
        <family val="2"/>
      </rPr>
      <t xml:space="preserve"> ALLOCATIONS  **DISTRICT EXPENSE**</t>
    </r>
  </si>
  <si>
    <r>
      <t xml:space="preserve">2020-2021 </t>
    </r>
    <r>
      <rPr>
        <b/>
        <sz val="14"/>
        <rFont val="Arial"/>
        <family val="2"/>
      </rPr>
      <t>PROFESSIONAL DEVELOPMENT - CERTIFIED</t>
    </r>
  </si>
  <si>
    <t>Staff numbers based on estimates from 1/7/20</t>
  </si>
  <si>
    <t xml:space="preserve"> $180.22/FTE</t>
  </si>
  <si>
    <r>
      <t xml:space="preserve">2020-2021 </t>
    </r>
    <r>
      <rPr>
        <b/>
        <sz val="14"/>
        <rFont val="Arial"/>
        <family val="2"/>
      </rPr>
      <t>PROFESSIONAL DEVELOPMENT - ESP</t>
    </r>
  </si>
  <si>
    <t>$119.61/FTE</t>
  </si>
  <si>
    <r>
      <t xml:space="preserve">2020-2021 </t>
    </r>
    <r>
      <rPr>
        <b/>
        <sz val="14"/>
        <rFont val="Arial"/>
        <family val="2"/>
      </rPr>
      <t>Mileage</t>
    </r>
    <r>
      <rPr>
        <b/>
        <sz val="12"/>
        <rFont val="Arial"/>
        <family val="2"/>
      </rPr>
      <t xml:space="preserve"> (In-District) Allocations - Schools-**District Expense**</t>
    </r>
  </si>
  <si>
    <r>
      <t xml:space="preserve">2020-2021 </t>
    </r>
    <r>
      <rPr>
        <b/>
        <sz val="14"/>
        <rFont val="Arial"/>
        <family val="2"/>
      </rPr>
      <t xml:space="preserve">UTILITY </t>
    </r>
    <r>
      <rPr>
        <b/>
        <sz val="12"/>
        <rFont val="Arial"/>
        <family val="2"/>
      </rPr>
      <t>ALLOCATIONS  **DISTRICT EXPENSE**</t>
    </r>
  </si>
  <si>
    <r>
      <rPr>
        <b/>
        <sz val="12"/>
        <rFont val="Arial"/>
        <family val="2"/>
      </rPr>
      <t xml:space="preserve">2020-2021 </t>
    </r>
    <r>
      <rPr>
        <b/>
        <sz val="14"/>
        <rFont val="Arial"/>
        <family val="2"/>
      </rPr>
      <t xml:space="preserve">DEPARTMENT </t>
    </r>
    <r>
      <rPr>
        <b/>
        <sz val="12"/>
        <rFont val="Arial"/>
        <family val="2"/>
      </rPr>
      <t>ALLOCATION SUMMARY</t>
    </r>
  </si>
  <si>
    <t>Musical Instrument Repair/Replace</t>
  </si>
  <si>
    <t>DARE</t>
  </si>
  <si>
    <t>Text Book Replacement (controlled by Finance) $300,00 per year to max account of $1,200,000</t>
  </si>
  <si>
    <t>Out of State Tuition for TA</t>
  </si>
  <si>
    <t>01.1290.03720.029.00000</t>
  </si>
  <si>
    <t>STEM Lab supplies (controlled by STEM Facilitator)</t>
  </si>
  <si>
    <t>01.2240.04100.xxx.06000/ 19600</t>
  </si>
  <si>
    <t>Stocktrail Literacy Support (Ed Plan 1 yr)</t>
  </si>
  <si>
    <t>01.1110..016.01000</t>
  </si>
  <si>
    <t>Sup/Elem Education</t>
  </si>
  <si>
    <t>Resouce Room Teacher Ed Plan-moved to SPED Page</t>
  </si>
  <si>
    <t>01.1210.04100.000.20601</t>
  </si>
  <si>
    <t>01.1265..029.07170</t>
  </si>
  <si>
    <t>01.1260..000.29101</t>
  </si>
  <si>
    <t>01.1260..000.29103</t>
  </si>
  <si>
    <t>01.1260..000.29102</t>
  </si>
  <si>
    <t>01.1260.03405.230.29170</t>
  </si>
  <si>
    <t>BCBA Supplies- moved to SPED page</t>
  </si>
  <si>
    <t>01.2140.04100.000.00000</t>
  </si>
  <si>
    <t>Fast Bridge</t>
  </si>
  <si>
    <t>01.2212.04110.202.32110</t>
  </si>
  <si>
    <t>Sup-Elem Ed Cert'd Profess Develop</t>
  </si>
  <si>
    <t>Sup-Sec Ed Cert'd Profess Develop</t>
  </si>
  <si>
    <t>ESC Internet services</t>
  </si>
  <si>
    <t>01.3420.03410.350.00000</t>
  </si>
  <si>
    <r>
      <t>2020-2021</t>
    </r>
    <r>
      <rPr>
        <b/>
        <sz val="14"/>
        <rFont val="Arial"/>
        <family val="2"/>
      </rPr>
      <t xml:space="preserve"> TELEPHONE</t>
    </r>
    <r>
      <rPr>
        <b/>
        <sz val="12"/>
        <rFont val="Arial"/>
        <family val="2"/>
      </rPr>
      <t xml:space="preserve"> ALLOCATIONS  **DISTRICT EXPENSE**</t>
    </r>
  </si>
  <si>
    <t>SRO Contracts with City &amp; CCSO</t>
  </si>
  <si>
    <t>01.3460..000.29300</t>
  </si>
  <si>
    <t>Security Service (Crossing Guards)</t>
  </si>
  <si>
    <t>Safety/Security (controlled by Finance)</t>
  </si>
  <si>
    <t>01.3460..000.34100</t>
  </si>
  <si>
    <t>Crisis</t>
  </si>
  <si>
    <t>01.3460.03600.000.64000</t>
  </si>
  <si>
    <t>EPI Assessment Software</t>
  </si>
  <si>
    <t>01.3850..350.34300</t>
  </si>
  <si>
    <t>01.3850.03230.350.34301</t>
  </si>
  <si>
    <t>Bus Leases - Capital Outlay*</t>
  </si>
  <si>
    <t>01.3510.05500.320.44300</t>
  </si>
  <si>
    <r>
      <t xml:space="preserve">Bus Lease-FY18-Series 2017 </t>
    </r>
    <r>
      <rPr>
        <sz val="8"/>
        <color rgb="FF0000FF"/>
        <rFont val="Arial"/>
        <family val="2"/>
      </rPr>
      <t>(Yr5 of 5)</t>
    </r>
  </si>
  <si>
    <t>Bus Lease-FY21-Series 2020 (Yr1of5)</t>
  </si>
  <si>
    <t>01.6100..320.44990</t>
  </si>
  <si>
    <t>FY20 Hail Damage Insurance Payments</t>
  </si>
  <si>
    <t>FY20 Hail Damage Vehicles</t>
  </si>
  <si>
    <t>01.3590.05500.320.46050</t>
  </si>
  <si>
    <t>FY20 Hail Damage Buildings</t>
  </si>
  <si>
    <t>01.5600.05200.000.46100</t>
  </si>
  <si>
    <t>2020-2021 Non-Salary and Non-Benefits ALLOCATION SUMMARY</t>
  </si>
  <si>
    <t>FY2021</t>
  </si>
  <si>
    <t xml:space="preserve">   ELO/School Improvement </t>
  </si>
  <si>
    <r>
      <t xml:space="preserve">2020-2021 </t>
    </r>
    <r>
      <rPr>
        <b/>
        <sz val="14"/>
        <rFont val="Arial"/>
        <family val="2"/>
      </rPr>
      <t xml:space="preserve">FUEL </t>
    </r>
    <r>
      <rPr>
        <b/>
        <sz val="12"/>
        <rFont val="Arial"/>
        <family val="2"/>
      </rPr>
      <t>ALLOCATIONS  **DISTRICT EXPENSE**</t>
    </r>
  </si>
  <si>
    <t>Drivers Ed Vehicle Fuel</t>
  </si>
  <si>
    <t>01.1290.04540.155.19520</t>
  </si>
  <si>
    <t>01.3850.04540.350.34300</t>
  </si>
  <si>
    <t>01.2240.04540.220.33300</t>
  </si>
  <si>
    <r>
      <t>2020-2021</t>
    </r>
    <r>
      <rPr>
        <b/>
        <sz val="14"/>
        <rFont val="Arial"/>
        <family val="2"/>
      </rPr>
      <t xml:space="preserve"> MILEAGE</t>
    </r>
    <r>
      <rPr>
        <b/>
        <sz val="12"/>
        <rFont val="Arial"/>
        <family val="2"/>
      </rPr>
      <t xml:space="preserve"> ALLOCATIONS -  DEPARTMENTS **DISTRICT EXPENSE**</t>
    </r>
  </si>
  <si>
    <t>2020-2021</t>
  </si>
  <si>
    <t>4th Grade Sections 12/9/2019</t>
  </si>
  <si>
    <r>
      <t xml:space="preserve">2020-2021 </t>
    </r>
    <r>
      <rPr>
        <b/>
        <sz val="14"/>
        <rFont val="Arial"/>
        <family val="2"/>
      </rPr>
      <t xml:space="preserve">CAPITAL EQUIPMENT </t>
    </r>
    <r>
      <rPr>
        <b/>
        <sz val="12"/>
        <rFont val="Arial"/>
        <family val="2"/>
      </rPr>
      <t>ALLOCATIONS -  **DISTRICT**</t>
    </r>
  </si>
  <si>
    <r>
      <t xml:space="preserve">2020-2021 </t>
    </r>
    <r>
      <rPr>
        <b/>
        <sz val="14"/>
        <rFont val="Arial"/>
        <family val="2"/>
      </rPr>
      <t>SPECIAL EDUCATION</t>
    </r>
    <r>
      <rPr>
        <b/>
        <sz val="12"/>
        <rFont val="Arial"/>
        <family val="2"/>
      </rPr>
      <t xml:space="preserve"> ALLOCATIONS</t>
    </r>
  </si>
  <si>
    <r>
      <t xml:space="preserve">20-2021 </t>
    </r>
    <r>
      <rPr>
        <b/>
        <sz val="14"/>
        <rFont val="Arial"/>
        <family val="2"/>
      </rPr>
      <t>CUSTODIAL</t>
    </r>
    <r>
      <rPr>
        <b/>
        <sz val="12"/>
        <rFont val="Arial"/>
        <family val="2"/>
      </rPr>
      <t xml:space="preserve"> ALLOCATIONS</t>
    </r>
  </si>
  <si>
    <r>
      <t xml:space="preserve">2020-2021 </t>
    </r>
    <r>
      <rPr>
        <b/>
        <sz val="14"/>
        <rFont val="Arial"/>
        <family val="2"/>
      </rPr>
      <t>MISCELLANEOUS</t>
    </r>
    <r>
      <rPr>
        <b/>
        <sz val="12"/>
        <rFont val="Arial"/>
        <family val="2"/>
      </rPr>
      <t xml:space="preserve"> SCHOOL ALLOCATIONS- Class Fees</t>
    </r>
  </si>
  <si>
    <r>
      <t xml:space="preserve">2020-2021 </t>
    </r>
    <r>
      <rPr>
        <b/>
        <sz val="14"/>
        <rFont val="Arial"/>
        <family val="2"/>
      </rPr>
      <t>SCHOOL IMPROVEMENT</t>
    </r>
    <r>
      <rPr>
        <b/>
        <sz val="12"/>
        <rFont val="Arial"/>
        <family val="2"/>
      </rPr>
      <t xml:space="preserve"> ALLOCATIONS</t>
    </r>
  </si>
  <si>
    <r>
      <t xml:space="preserve">2020-2021 </t>
    </r>
    <r>
      <rPr>
        <b/>
        <sz val="14"/>
        <rFont val="Arial"/>
        <family val="2"/>
      </rPr>
      <t>Administration Allocation</t>
    </r>
  </si>
  <si>
    <r>
      <t xml:space="preserve">2020-2021 </t>
    </r>
    <r>
      <rPr>
        <b/>
        <sz val="14"/>
        <rFont val="Arial"/>
        <family val="2"/>
      </rPr>
      <t>LIBRARY/MEDIA</t>
    </r>
    <r>
      <rPr>
        <b/>
        <sz val="12"/>
        <rFont val="Arial"/>
        <family val="2"/>
      </rPr>
      <t xml:space="preserve"> ALLOCATIONS</t>
    </r>
  </si>
  <si>
    <r>
      <t xml:space="preserve">2020-2021 </t>
    </r>
    <r>
      <rPr>
        <b/>
        <sz val="14"/>
        <rFont val="Arial"/>
        <family val="2"/>
      </rPr>
      <t>CAPITAL EQUIPMENT</t>
    </r>
    <r>
      <rPr>
        <b/>
        <sz val="12"/>
        <rFont val="Arial"/>
        <family val="2"/>
      </rPr>
      <t xml:space="preserve"> ALLOCATIONS - Schools</t>
    </r>
  </si>
  <si>
    <r>
      <t xml:space="preserve">2020-2021 </t>
    </r>
    <r>
      <rPr>
        <b/>
        <sz val="14"/>
        <rFont val="Arial"/>
        <family val="2"/>
      </rPr>
      <t>NURSE</t>
    </r>
    <r>
      <rPr>
        <b/>
        <sz val="12"/>
        <rFont val="Arial"/>
        <family val="2"/>
      </rPr>
      <t xml:space="preserve"> ALLOCATIONS</t>
    </r>
  </si>
  <si>
    <r>
      <t xml:space="preserve">CAMPBELL COUNTY SCHOOL DISTRICT 2020-2021 BASELINE </t>
    </r>
    <r>
      <rPr>
        <b/>
        <sz val="14"/>
        <rFont val="Arial"/>
        <family val="2"/>
      </rPr>
      <t>SCHOOL ALLOCATIONS</t>
    </r>
  </si>
  <si>
    <t>$25.46/student rounded</t>
  </si>
  <si>
    <t>$180.22/ FTE</t>
  </si>
  <si>
    <t>$119.61/ FTE</t>
  </si>
  <si>
    <t xml:space="preserve">2020-2021 CAMPBELL COUNTY SCHOOL DISTRICT #1  </t>
  </si>
  <si>
    <t>250+ = $154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</si>
</sst>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mmmm\ d\,\ yyyy"/>
    <numFmt numFmtId="166" formatCode="0.0_);\(0.0\)"/>
    <numFmt numFmtId="167" formatCode="&quot;$&quot;#,##0.00"/>
    <numFmt numFmtId="168" formatCode="0_);\(0\)"/>
    <numFmt numFmtId="169" formatCode="00000"/>
    <numFmt numFmtId="170" formatCode="0000"/>
    <numFmt numFmtId="171" formatCode="[$-F800]dddd\,\ mmmm\ dd\,\ yyyy"/>
    <numFmt numFmtId="172" formatCode="#,##0.000"/>
    <numFmt numFmtId="173" formatCode="0.0"/>
    <numFmt numFmtId="174" formatCode="0.000"/>
    <numFmt numFmtId="175" formatCode="#,##0.000000"/>
    <numFmt numFmtId="176" formatCode="#,##0.00000"/>
    <numFmt numFmtId="177" formatCode="0.0000"/>
    <numFmt numFmtId="178" formatCode="0.0000000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val="singleAccounting"/>
      <sz val="10"/>
      <name val="Arial"/>
      <family val="2"/>
    </font>
    <font>
      <u/>
      <sz val="10"/>
      <name val="Arial"/>
      <family val="2"/>
    </font>
    <font>
      <sz val="11"/>
      <name val="Arial"/>
      <family val="2"/>
    </font>
    <font>
      <b/>
      <sz val="11"/>
      <name val="Arial"/>
      <family val="2"/>
    </font>
    <font>
      <b/>
      <sz val="12"/>
      <name val="Arial"/>
      <family val="2"/>
    </font>
    <font>
      <b/>
      <u/>
      <sz val="10"/>
      <name val="Arial"/>
      <family val="2"/>
    </font>
    <font>
      <sz val="8"/>
      <name val="Arial"/>
      <family val="2"/>
    </font>
    <font>
      <sz val="9"/>
      <name val="Arial"/>
      <family val="2"/>
    </font>
    <font>
      <sz val="10"/>
      <name val="Arial"/>
      <family val="2"/>
    </font>
    <font>
      <sz val="10"/>
      <color indexed="10"/>
      <name val="Arial"/>
      <family val="2"/>
    </font>
    <font>
      <b/>
      <sz val="10"/>
      <name val="Arial"/>
      <family val="2"/>
    </font>
    <font>
      <sz val="8"/>
      <name val="Arial"/>
      <family val="2"/>
    </font>
    <font>
      <sz val="10"/>
      <color indexed="12"/>
      <name val="Arial"/>
      <family val="2"/>
    </font>
    <font>
      <sz val="10"/>
      <color indexed="10"/>
      <name val="Arial"/>
      <family val="2"/>
    </font>
    <font>
      <sz val="9"/>
      <name val="Arial"/>
      <family val="2"/>
    </font>
    <font>
      <sz val="6"/>
      <name val="Arial"/>
      <family val="2"/>
    </font>
    <font>
      <b/>
      <u/>
      <sz val="11"/>
      <name val="Arial"/>
      <family val="2"/>
    </font>
    <font>
      <b/>
      <sz val="8"/>
      <name val="Arial"/>
      <family val="2"/>
    </font>
    <font>
      <sz val="10"/>
      <name val="Arial"/>
      <family val="2"/>
    </font>
    <font>
      <sz val="10"/>
      <color indexed="12"/>
      <name val="Arial"/>
      <family val="2"/>
    </font>
    <font>
      <b/>
      <sz val="9"/>
      <name val="Arial"/>
      <family val="2"/>
    </font>
    <font>
      <b/>
      <sz val="10"/>
      <name val="Arial"/>
      <family val="2"/>
    </font>
    <font>
      <sz val="10"/>
      <name val="Arial"/>
      <family val="2"/>
    </font>
    <font>
      <b/>
      <sz val="10"/>
      <color indexed="10"/>
      <name val="Arial"/>
      <family val="2"/>
    </font>
    <font>
      <b/>
      <sz val="10"/>
      <color indexed="10"/>
      <name val="Arial"/>
      <family val="2"/>
    </font>
    <font>
      <b/>
      <u/>
      <sz val="10"/>
      <name val="Arial"/>
      <family val="2"/>
    </font>
    <font>
      <sz val="10"/>
      <name val="Arial"/>
      <family val="2"/>
    </font>
    <font>
      <sz val="10"/>
      <name val="Arial"/>
      <family val="2"/>
    </font>
    <font>
      <sz val="10"/>
      <color indexed="56"/>
      <name val="Arial"/>
      <family val="2"/>
    </font>
    <font>
      <sz val="10"/>
      <color theme="1"/>
      <name val="Arial"/>
      <family val="2"/>
    </font>
    <font>
      <sz val="11"/>
      <color rgb="FFFF0000"/>
      <name val="Arial"/>
      <family val="2"/>
    </font>
    <font>
      <b/>
      <sz val="10"/>
      <color theme="3" tint="0.39994506668294322"/>
      <name val="Arial"/>
      <family val="2"/>
    </font>
    <font>
      <sz val="10"/>
      <color rgb="FFFF0000"/>
      <name val="Arial"/>
      <family val="2"/>
    </font>
    <font>
      <b/>
      <sz val="14"/>
      <name val="Arial"/>
      <family val="2"/>
    </font>
    <font>
      <sz val="10"/>
      <name val="Arial"/>
      <family val="2"/>
    </font>
    <font>
      <b/>
      <sz val="18"/>
      <name val="Arial"/>
      <family val="2"/>
    </font>
    <font>
      <b/>
      <sz val="12"/>
      <name val="Arial"/>
      <family val="2"/>
    </font>
    <font>
      <sz val="10"/>
      <color rgb="FF0000FF"/>
      <name val="Arial"/>
      <family val="2"/>
    </font>
    <font>
      <sz val="9"/>
      <color rgb="FF0000FF"/>
      <name val="Arial"/>
      <family val="2"/>
    </font>
    <font>
      <b/>
      <sz val="10"/>
      <color rgb="FF0000FF"/>
      <name val="Arial"/>
      <family val="2"/>
    </font>
    <font>
      <sz val="10"/>
      <name val="Arial"/>
      <family val="2"/>
    </font>
    <font>
      <sz val="8"/>
      <color rgb="FF0000FF"/>
      <name val="Arial"/>
      <family val="2"/>
    </font>
    <font>
      <sz val="10"/>
      <name val="Arial"/>
      <family val="2"/>
    </font>
    <font>
      <sz val="12"/>
      <name val="Arial"/>
      <family val="2"/>
    </font>
    <font>
      <i/>
      <sz val="10"/>
      <name val="Arial"/>
      <family val="2"/>
    </font>
    <font>
      <b/>
      <sz val="11"/>
      <color theme="1"/>
      <name val="Calibri"/>
      <family val="2"/>
      <scheme val="minor"/>
    </font>
    <font>
      <b/>
      <u/>
      <sz val="9"/>
      <color theme="1"/>
      <name val="Calibri"/>
      <family val="2"/>
      <scheme val="minor"/>
    </font>
    <font>
      <b/>
      <sz val="12"/>
      <color theme="1"/>
      <name val="Calibri"/>
      <family val="2"/>
      <scheme val="minor"/>
    </font>
    <font>
      <b/>
      <sz val="12"/>
      <name val="Verdana"/>
      <family val="2"/>
    </font>
    <font>
      <sz val="10"/>
      <name val="Arial Narrow"/>
      <family val="2"/>
    </font>
    <font>
      <sz val="12"/>
      <name val="Verdana"/>
      <family val="2"/>
    </font>
    <font>
      <i/>
      <sz val="10"/>
      <name val="Verdana"/>
      <family val="2"/>
    </font>
    <font>
      <b/>
      <sz val="12"/>
      <color theme="1"/>
      <name val="Comic Sans MS"/>
      <family val="4"/>
    </font>
    <font>
      <sz val="9"/>
      <color indexed="81"/>
      <name val="Tahoma"/>
      <charset val="1"/>
    </font>
    <font>
      <b/>
      <sz val="9"/>
      <color indexed="81"/>
      <name val="Tahoma"/>
      <charset val="1"/>
    </font>
    <font>
      <sz val="9"/>
      <color indexed="81"/>
      <name val="Tahoma"/>
      <family val="2"/>
    </font>
    <font>
      <b/>
      <sz val="9"/>
      <color indexed="81"/>
      <name val="Tahoma"/>
      <family val="2"/>
    </font>
  </fonts>
  <fills count="3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99CCFF"/>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double">
        <color indexed="0"/>
      </top>
      <bottom/>
      <diagonal/>
    </border>
    <border>
      <left/>
      <right style="medium">
        <color indexed="64"/>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indexed="64"/>
      </left>
      <right style="thin">
        <color indexed="64"/>
      </right>
      <top style="thin">
        <color indexed="64"/>
      </top>
      <bottom style="double">
        <color indexed="64"/>
      </bottom>
      <diagonal/>
    </border>
  </borders>
  <cellStyleXfs count="123">
    <xf numFmtId="0" fontId="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9" fillId="0" borderId="0"/>
    <xf numFmtId="0" fontId="9" fillId="0" borderId="0"/>
    <xf numFmtId="0" fontId="45" fillId="0" borderId="0">
      <alignment vertical="top"/>
    </xf>
    <xf numFmtId="4" fontId="45" fillId="0" borderId="0" applyFont="0" applyFill="0" applyBorder="0" applyAlignment="0" applyProtection="0"/>
    <xf numFmtId="3" fontId="45" fillId="0" borderId="0" applyFont="0" applyFill="0" applyBorder="0" applyAlignment="0" applyProtection="0"/>
    <xf numFmtId="5"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6" fillId="0" borderId="0" applyNumberFormat="0" applyFont="0" applyFill="0" applyAlignment="0" applyProtection="0"/>
    <xf numFmtId="0" fontId="47" fillId="0" borderId="0" applyNumberFormat="0" applyFont="0" applyFill="0" applyAlignment="0" applyProtection="0"/>
    <xf numFmtId="0" fontId="45" fillId="0" borderId="26" applyNumberFormat="0" applyFont="0" applyBorder="0" applyAlignment="0" applyProtection="0"/>
    <xf numFmtId="0" fontId="8" fillId="0" borderId="0"/>
    <xf numFmtId="43" fontId="8" fillId="0" borderId="0" applyFont="0" applyFill="0" applyBorder="0" applyAlignment="0" applyProtection="0"/>
    <xf numFmtId="0" fontId="45" fillId="0" borderId="0">
      <alignment vertical="top"/>
    </xf>
    <xf numFmtId="9" fontId="45"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3" fontId="51" fillId="0" borderId="0" applyFont="0" applyFill="0" applyBorder="0" applyAlignment="0" applyProtection="0"/>
    <xf numFmtId="43" fontId="5" fillId="0" borderId="0" applyFont="0" applyFill="0" applyBorder="0" applyAlignment="0" applyProtection="0"/>
    <xf numFmtId="4"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5" fillId="0" borderId="0" applyNumberFormat="0" applyFont="0" applyFill="0" applyAlignment="0" applyProtection="0"/>
    <xf numFmtId="0" fontId="5" fillId="0" borderId="0"/>
    <xf numFmtId="0" fontId="5" fillId="0" borderId="0"/>
    <xf numFmtId="0" fontId="5" fillId="0" borderId="0"/>
    <xf numFmtId="0" fontId="5" fillId="0" borderId="0"/>
    <xf numFmtId="0" fontId="10" fillId="0" borderId="0">
      <alignment vertical="top"/>
    </xf>
    <xf numFmtId="0" fontId="10" fillId="0" borderId="0">
      <alignment vertical="top"/>
    </xf>
    <xf numFmtId="0" fontId="5" fillId="0" borderId="0"/>
    <xf numFmtId="9" fontId="10" fillId="0" borderId="0" applyFont="0" applyFill="0" applyBorder="0" applyAlignment="0" applyProtection="0"/>
    <xf numFmtId="0" fontId="10" fillId="0" borderId="26" applyNumberFormat="0" applyFont="0" applyBorder="0" applyAlignment="0" applyProtection="0"/>
    <xf numFmtId="0" fontId="4" fillId="0" borderId="0"/>
    <xf numFmtId="0" fontId="53" fillId="0" borderId="0"/>
    <xf numFmtId="43" fontId="10"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10"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921">
    <xf numFmtId="0" fontId="0" fillId="0" borderId="0" xfId="0"/>
    <xf numFmtId="43" fontId="0" fillId="0" borderId="0" xfId="1" applyFont="1"/>
    <xf numFmtId="0" fontId="0" fillId="0" borderId="0" xfId="0" applyAlignment="1">
      <alignment horizontal="center"/>
    </xf>
    <xf numFmtId="43" fontId="0" fillId="0" borderId="0" xfId="1" applyFont="1" applyAlignment="1">
      <alignment horizontal="center"/>
    </xf>
    <xf numFmtId="0" fontId="0" fillId="0" borderId="0" xfId="0" applyAlignment="1">
      <alignment horizontal="right"/>
    </xf>
    <xf numFmtId="0" fontId="0" fillId="2" borderId="0" xfId="0" applyFill="1"/>
    <xf numFmtId="43" fontId="0" fillId="2" borderId="0" xfId="1" applyFont="1" applyFill="1"/>
    <xf numFmtId="0" fontId="0" fillId="3" borderId="0" xfId="0" applyFill="1"/>
    <xf numFmtId="43" fontId="0" fillId="3" borderId="0" xfId="1" applyFont="1" applyFill="1"/>
    <xf numFmtId="0" fontId="11" fillId="0" borderId="0" xfId="0" applyFont="1" applyAlignment="1">
      <alignment horizontal="center"/>
    </xf>
    <xf numFmtId="43" fontId="11" fillId="0" borderId="0" xfId="1" applyFont="1" applyAlignment="1">
      <alignment horizontal="center"/>
    </xf>
    <xf numFmtId="43" fontId="11" fillId="2" borderId="0" xfId="1" applyFont="1" applyFill="1" applyAlignment="1">
      <alignment horizontal="center"/>
    </xf>
    <xf numFmtId="164" fontId="0" fillId="0" borderId="0" xfId="1" applyNumberFormat="1" applyFont="1"/>
    <xf numFmtId="164" fontId="0" fillId="0" borderId="0" xfId="1" applyNumberFormat="1" applyFont="1" applyAlignment="1">
      <alignment horizontal="center"/>
    </xf>
    <xf numFmtId="0" fontId="0" fillId="4" borderId="0" xfId="0" applyFill="1"/>
    <xf numFmtId="44" fontId="0" fillId="0" borderId="0" xfId="2" applyFont="1"/>
    <xf numFmtId="0" fontId="0" fillId="5" borderId="0" xfId="0" applyFill="1"/>
    <xf numFmtId="0" fontId="0" fillId="5" borderId="0" xfId="0" applyFill="1" applyAlignment="1">
      <alignment horizontal="center"/>
    </xf>
    <xf numFmtId="0" fontId="0" fillId="3" borderId="0" xfId="0" applyFill="1" applyAlignment="1">
      <alignment horizontal="center"/>
    </xf>
    <xf numFmtId="44" fontId="0" fillId="3" borderId="0" xfId="2" applyFont="1" applyFill="1"/>
    <xf numFmtId="4" fontId="0" fillId="0" borderId="0" xfId="0" applyNumberFormat="1"/>
    <xf numFmtId="4" fontId="0" fillId="0" borderId="0" xfId="0" applyNumberFormat="1" applyAlignment="1">
      <alignment horizontal="center"/>
    </xf>
    <xf numFmtId="4" fontId="0" fillId="5" borderId="0" xfId="0" applyNumberFormat="1" applyFill="1"/>
    <xf numFmtId="0" fontId="0" fillId="6" borderId="0" xfId="0" applyFill="1"/>
    <xf numFmtId="4" fontId="0" fillId="6" borderId="0" xfId="0" applyNumberFormat="1" applyFill="1"/>
    <xf numFmtId="4" fontId="0" fillId="4" borderId="0" xfId="0" applyNumberFormat="1" applyFill="1"/>
    <xf numFmtId="3" fontId="0" fillId="0" borderId="0" xfId="0" applyNumberFormat="1"/>
    <xf numFmtId="3" fontId="0" fillId="0" borderId="0" xfId="0" applyNumberFormat="1" applyAlignment="1">
      <alignment horizontal="center"/>
    </xf>
    <xf numFmtId="3" fontId="0" fillId="5" borderId="0" xfId="0" applyNumberFormat="1" applyFill="1"/>
    <xf numFmtId="3" fontId="0" fillId="5" borderId="0" xfId="0" applyNumberFormat="1" applyFill="1" applyAlignment="1">
      <alignment horizontal="center"/>
    </xf>
    <xf numFmtId="3" fontId="0" fillId="6" borderId="0" xfId="0" applyNumberFormat="1" applyFill="1"/>
    <xf numFmtId="3" fontId="0" fillId="6" borderId="0" xfId="0" applyNumberFormat="1" applyFill="1" applyAlignment="1">
      <alignment horizontal="center"/>
    </xf>
    <xf numFmtId="3" fontId="0" fillId="4" borderId="0" xfId="0" applyNumberFormat="1" applyFill="1"/>
    <xf numFmtId="3" fontId="0" fillId="4" borderId="0" xfId="0" applyNumberFormat="1" applyFill="1" applyAlignment="1">
      <alignment horizontal="center"/>
    </xf>
    <xf numFmtId="4" fontId="0" fillId="0" borderId="0" xfId="0" applyNumberFormat="1" applyAlignment="1">
      <alignment horizontal="right"/>
    </xf>
    <xf numFmtId="164" fontId="0" fillId="2" borderId="0" xfId="1" applyNumberFormat="1" applyFont="1" applyFill="1" applyAlignment="1">
      <alignment horizontal="center"/>
    </xf>
    <xf numFmtId="164" fontId="0" fillId="6" borderId="0" xfId="1" applyNumberFormat="1" applyFont="1" applyFill="1" applyAlignment="1">
      <alignment horizontal="center"/>
    </xf>
    <xf numFmtId="43" fontId="0" fillId="6" borderId="0" xfId="1" applyFont="1" applyFill="1"/>
    <xf numFmtId="39" fontId="0" fillId="0" borderId="0" xfId="1" applyNumberFormat="1" applyFont="1"/>
    <xf numFmtId="3" fontId="0" fillId="0" borderId="0" xfId="0" applyNumberFormat="1" applyAlignment="1">
      <alignment horizontal="right"/>
    </xf>
    <xf numFmtId="39" fontId="0" fillId="0" borderId="0" xfId="0" applyNumberFormat="1"/>
    <xf numFmtId="0" fontId="0" fillId="0" borderId="0" xfId="0" applyNumberFormat="1" applyAlignment="1">
      <alignment horizontal="center"/>
    </xf>
    <xf numFmtId="0" fontId="0" fillId="0" borderId="0" xfId="0" quotePrefix="1"/>
    <xf numFmtId="0" fontId="13" fillId="0" borderId="0" xfId="0" applyFont="1"/>
    <xf numFmtId="0" fontId="14"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3" xfId="0" applyBorder="1"/>
    <xf numFmtId="0" fontId="0" fillId="0" borderId="0" xfId="0" applyBorder="1"/>
    <xf numFmtId="0" fontId="0" fillId="0" borderId="4" xfId="0" applyBorder="1"/>
    <xf numFmtId="0" fontId="0" fillId="0" borderId="5" xfId="0" applyBorder="1"/>
    <xf numFmtId="0" fontId="0" fillId="0" borderId="5" xfId="0" applyBorder="1" applyAlignment="1">
      <alignment horizontal="center"/>
    </xf>
    <xf numFmtId="0" fontId="0" fillId="0" borderId="0" xfId="0" applyBorder="1" applyAlignment="1">
      <alignment horizontal="center"/>
    </xf>
    <xf numFmtId="39" fontId="0" fillId="2" borderId="0" xfId="1" applyNumberFormat="1" applyFont="1" applyFill="1"/>
    <xf numFmtId="39" fontId="0" fillId="3" borderId="0" xfId="1" applyNumberFormat="1" applyFont="1" applyFill="1"/>
    <xf numFmtId="10" fontId="0" fillId="0" borderId="0" xfId="0" applyNumberFormat="1"/>
    <xf numFmtId="39" fontId="0" fillId="0" borderId="2" xfId="0" applyNumberFormat="1" applyBorder="1"/>
    <xf numFmtId="0" fontId="0" fillId="0" borderId="1" xfId="0" applyBorder="1"/>
    <xf numFmtId="10" fontId="0" fillId="0" borderId="8" xfId="0" applyNumberFormat="1" applyBorder="1"/>
    <xf numFmtId="0" fontId="0" fillId="0" borderId="3" xfId="0" applyBorder="1" applyAlignment="1">
      <alignment horizontal="center"/>
    </xf>
    <xf numFmtId="39" fontId="0" fillId="0" borderId="0" xfId="0" applyNumberFormat="1" applyBorder="1"/>
    <xf numFmtId="0" fontId="0" fillId="5" borderId="3" xfId="0" applyFill="1" applyBorder="1"/>
    <xf numFmtId="0" fontId="0" fillId="6" borderId="3" xfId="0" applyFill="1" applyBorder="1"/>
    <xf numFmtId="39" fontId="0" fillId="6" borderId="0" xfId="0" applyNumberFormat="1" applyFill="1" applyBorder="1"/>
    <xf numFmtId="0" fontId="0" fillId="7" borderId="3" xfId="0" applyFill="1" applyBorder="1"/>
    <xf numFmtId="39" fontId="0" fillId="0" borderId="1" xfId="0" applyNumberFormat="1" applyBorder="1" applyAlignment="1">
      <alignment horizontal="center"/>
    </xf>
    <xf numFmtId="39" fontId="0" fillId="0" borderId="3" xfId="0" applyNumberFormat="1" applyBorder="1" applyAlignment="1">
      <alignment horizontal="center"/>
    </xf>
    <xf numFmtId="39" fontId="0" fillId="0" borderId="3" xfId="0" applyNumberFormat="1" applyBorder="1"/>
    <xf numFmtId="39" fontId="0" fillId="0" borderId="1" xfId="0" applyNumberFormat="1" applyBorder="1"/>
    <xf numFmtId="39" fontId="0" fillId="5" borderId="3" xfId="0" applyNumberFormat="1" applyFill="1" applyBorder="1"/>
    <xf numFmtId="39" fontId="0" fillId="6" borderId="3" xfId="0" applyNumberFormat="1" applyFill="1" applyBorder="1"/>
    <xf numFmtId="39" fontId="0" fillId="7" borderId="3" xfId="0" applyNumberFormat="1" applyFill="1" applyBorder="1"/>
    <xf numFmtId="39" fontId="0" fillId="0" borderId="4" xfId="0" applyNumberFormat="1" applyBorder="1"/>
    <xf numFmtId="10" fontId="0" fillId="0" borderId="9" xfId="0" applyNumberFormat="1" applyBorder="1" applyAlignment="1">
      <alignment horizontal="center"/>
    </xf>
    <xf numFmtId="10" fontId="0" fillId="0" borderId="10" xfId="0" applyNumberFormat="1" applyBorder="1" applyAlignment="1">
      <alignment horizontal="center"/>
    </xf>
    <xf numFmtId="10" fontId="0" fillId="0" borderId="10" xfId="0" applyNumberFormat="1" applyBorder="1"/>
    <xf numFmtId="10" fontId="0" fillId="0" borderId="9" xfId="0" applyNumberFormat="1" applyBorder="1"/>
    <xf numFmtId="10" fontId="0" fillId="5" borderId="10" xfId="0" applyNumberFormat="1" applyFill="1" applyBorder="1"/>
    <xf numFmtId="10" fontId="0" fillId="6" borderId="10" xfId="0" applyNumberFormat="1" applyFill="1" applyBorder="1"/>
    <xf numFmtId="10" fontId="0" fillId="7" borderId="10" xfId="0" applyNumberFormat="1" applyFill="1" applyBorder="1"/>
    <xf numFmtId="10" fontId="0" fillId="0" borderId="11" xfId="0" applyNumberFormat="1" applyBorder="1"/>
    <xf numFmtId="0" fontId="0" fillId="0" borderId="2" xfId="0" applyBorder="1"/>
    <xf numFmtId="39" fontId="0" fillId="0" borderId="8" xfId="0" applyNumberFormat="1" applyBorder="1"/>
    <xf numFmtId="0" fontId="0" fillId="0" borderId="9" xfId="0" applyBorder="1" applyAlignment="1">
      <alignment horizontal="center"/>
    </xf>
    <xf numFmtId="39" fontId="0" fillId="6" borderId="9" xfId="0" applyNumberFormat="1" applyFill="1" applyBorder="1" applyAlignment="1">
      <alignment horizontal="center"/>
    </xf>
    <xf numFmtId="0" fontId="0" fillId="0" borderId="10" xfId="0" applyBorder="1" applyAlignment="1">
      <alignment horizontal="center"/>
    </xf>
    <xf numFmtId="39" fontId="0" fillId="6" borderId="10" xfId="0" applyNumberFormat="1" applyFill="1" applyBorder="1" applyAlignment="1">
      <alignment horizontal="center"/>
    </xf>
    <xf numFmtId="0" fontId="0" fillId="0" borderId="11" xfId="0" applyBorder="1" applyAlignment="1">
      <alignment horizontal="center"/>
    </xf>
    <xf numFmtId="39" fontId="0" fillId="6" borderId="11" xfId="0" applyNumberFormat="1" applyFill="1" applyBorder="1" applyAlignment="1">
      <alignment horizontal="center"/>
    </xf>
    <xf numFmtId="39" fontId="0" fillId="6" borderId="6" xfId="0" applyNumberFormat="1" applyFill="1" applyBorder="1"/>
    <xf numFmtId="0" fontId="0" fillId="0" borderId="9" xfId="0" applyBorder="1"/>
    <xf numFmtId="0" fontId="0" fillId="0" borderId="10" xfId="0" applyBorder="1"/>
    <xf numFmtId="0" fontId="0" fillId="8" borderId="10" xfId="0" applyFill="1" applyBorder="1"/>
    <xf numFmtId="0" fontId="19" fillId="0" borderId="0" xfId="0" applyFont="1"/>
    <xf numFmtId="0" fontId="19" fillId="0" borderId="0" xfId="0" applyFont="1" applyAlignment="1">
      <alignment horizontal="center"/>
    </xf>
    <xf numFmtId="0" fontId="17" fillId="0" borderId="0" xfId="0" applyFont="1" applyBorder="1" applyAlignment="1">
      <alignment horizontal="center"/>
    </xf>
    <xf numFmtId="0" fontId="20" fillId="0" borderId="0" xfId="0" applyFont="1"/>
    <xf numFmtId="164" fontId="20" fillId="0" borderId="0" xfId="1" applyNumberFormat="1" applyFont="1"/>
    <xf numFmtId="39" fontId="19" fillId="0" borderId="2" xfId="1" applyNumberFormat="1" applyFont="1" applyBorder="1"/>
    <xf numFmtId="164" fontId="19" fillId="0" borderId="0" xfId="1" applyNumberFormat="1" applyFont="1"/>
    <xf numFmtId="164" fontId="19" fillId="0" borderId="0" xfId="1" applyNumberFormat="1" applyFont="1" applyAlignment="1">
      <alignment horizontal="center"/>
    </xf>
    <xf numFmtId="43" fontId="19" fillId="0" borderId="0" xfId="1" applyNumberFormat="1" applyFont="1" applyAlignment="1">
      <alignment horizontal="center"/>
    </xf>
    <xf numFmtId="0" fontId="19" fillId="2" borderId="0" xfId="0" applyFont="1" applyFill="1"/>
    <xf numFmtId="164" fontId="11" fillId="0" borderId="0" xfId="1" applyNumberFormat="1" applyFont="1" applyAlignment="1">
      <alignment horizontal="center"/>
    </xf>
    <xf numFmtId="39" fontId="19" fillId="0" borderId="0" xfId="1" applyNumberFormat="1" applyFont="1"/>
    <xf numFmtId="43" fontId="11" fillId="0" borderId="0" xfId="1" applyFont="1"/>
    <xf numFmtId="0" fontId="0" fillId="0" borderId="0" xfId="0" applyFill="1" applyBorder="1"/>
    <xf numFmtId="0" fontId="21" fillId="0" borderId="0" xfId="0" applyFont="1" applyAlignment="1">
      <alignment horizontal="center"/>
    </xf>
    <xf numFmtId="0" fontId="21" fillId="2" borderId="0" xfId="0" applyFont="1" applyFill="1" applyAlignment="1">
      <alignment horizontal="right"/>
    </xf>
    <xf numFmtId="0" fontId="21" fillId="0" borderId="0" xfId="0" applyFont="1" applyAlignment="1">
      <alignment horizontal="right"/>
    </xf>
    <xf numFmtId="0" fontId="21" fillId="3" borderId="0" xfId="0" applyFont="1" applyFill="1" applyAlignment="1">
      <alignment horizontal="right"/>
    </xf>
    <xf numFmtId="168" fontId="0" fillId="0" borderId="0" xfId="0" applyNumberFormat="1" applyAlignment="1">
      <alignment horizontal="right"/>
    </xf>
    <xf numFmtId="168" fontId="21" fillId="2" borderId="0" xfId="0" applyNumberFormat="1" applyFont="1" applyFill="1" applyAlignment="1">
      <alignment horizontal="right"/>
    </xf>
    <xf numFmtId="168" fontId="21" fillId="0" borderId="0" xfId="0" applyNumberFormat="1" applyFont="1" applyAlignment="1">
      <alignment horizontal="right"/>
    </xf>
    <xf numFmtId="168" fontId="21" fillId="3" borderId="0" xfId="0" applyNumberFormat="1" applyFont="1" applyFill="1" applyAlignment="1">
      <alignment horizontal="right"/>
    </xf>
    <xf numFmtId="170" fontId="11" fillId="0" borderId="0" xfId="1" quotePrefix="1" applyNumberFormat="1" applyFont="1" applyAlignment="1">
      <alignment horizontal="center"/>
    </xf>
    <xf numFmtId="0" fontId="17" fillId="0" borderId="0" xfId="0" applyFont="1" applyBorder="1"/>
    <xf numFmtId="169" fontId="17" fillId="0" borderId="0" xfId="1" applyNumberFormat="1" applyFont="1" applyBorder="1" applyAlignment="1">
      <alignment horizontal="center"/>
    </xf>
    <xf numFmtId="43" fontId="17" fillId="0" borderId="0" xfId="1" applyFont="1" applyBorder="1" applyAlignment="1">
      <alignment horizontal="center"/>
    </xf>
    <xf numFmtId="170" fontId="17" fillId="0" borderId="0" xfId="1" quotePrefix="1" applyNumberFormat="1" applyFont="1" applyBorder="1" applyAlignment="1">
      <alignment horizontal="center"/>
    </xf>
    <xf numFmtId="0" fontId="24" fillId="0" borderId="0" xfId="0" applyFont="1"/>
    <xf numFmtId="39" fontId="0" fillId="0" borderId="5" xfId="0" applyNumberFormat="1" applyBorder="1"/>
    <xf numFmtId="39" fontId="22" fillId="6" borderId="0" xfId="0" applyNumberFormat="1" applyFont="1" applyFill="1" applyBorder="1" applyAlignment="1">
      <alignment horizontal="right"/>
    </xf>
    <xf numFmtId="0" fontId="0" fillId="0" borderId="0" xfId="0" applyAlignment="1"/>
    <xf numFmtId="1" fontId="0" fillId="0" borderId="12" xfId="0" applyNumberFormat="1" applyBorder="1" applyAlignment="1">
      <alignment horizontal="center"/>
    </xf>
    <xf numFmtId="4" fontId="0" fillId="2" borderId="0" xfId="0" applyNumberFormat="1" applyFill="1"/>
    <xf numFmtId="4" fontId="0" fillId="3" borderId="0" xfId="0" applyNumberFormat="1" applyFill="1"/>
    <xf numFmtId="0" fontId="22" fillId="3" borderId="0" xfId="0" applyFont="1" applyFill="1"/>
    <xf numFmtId="0" fontId="19" fillId="0" borderId="12" xfId="0" applyFont="1" applyBorder="1" applyAlignment="1">
      <alignment horizontal="center"/>
    </xf>
    <xf numFmtId="4" fontId="0" fillId="0" borderId="5" xfId="0" applyNumberFormat="1" applyBorder="1"/>
    <xf numFmtId="0" fontId="0" fillId="10" borderId="0" xfId="0" applyFill="1"/>
    <xf numFmtId="0" fontId="10" fillId="0" borderId="0" xfId="0" applyFont="1"/>
    <xf numFmtId="0" fontId="22" fillId="0" borderId="0" xfId="0" applyFont="1"/>
    <xf numFmtId="3" fontId="0" fillId="0" borderId="14" xfId="0" applyNumberFormat="1" applyBorder="1"/>
    <xf numFmtId="4" fontId="0" fillId="0" borderId="14" xfId="0" applyNumberFormat="1" applyBorder="1"/>
    <xf numFmtId="3" fontId="0" fillId="0" borderId="0" xfId="0" applyNumberFormat="1" applyBorder="1"/>
    <xf numFmtId="4" fontId="0" fillId="0" borderId="0" xfId="0" applyNumberFormat="1" applyBorder="1"/>
    <xf numFmtId="167" fontId="0" fillId="0" borderId="17" xfId="0" applyNumberFormat="1" applyBorder="1"/>
    <xf numFmtId="3" fontId="0" fillId="0" borderId="19" xfId="0" applyNumberFormat="1" applyBorder="1"/>
    <xf numFmtId="4" fontId="0" fillId="0" borderId="19" xfId="0" applyNumberFormat="1" applyBorder="1"/>
    <xf numFmtId="39" fontId="26" fillId="6" borderId="6" xfId="0" applyNumberFormat="1" applyFont="1" applyFill="1" applyBorder="1"/>
    <xf numFmtId="0" fontId="21" fillId="0" borderId="5" xfId="0" applyFont="1" applyBorder="1" applyAlignment="1">
      <alignment horizontal="center"/>
    </xf>
    <xf numFmtId="165" fontId="0" fillId="0" borderId="5" xfId="0" quotePrefix="1" applyNumberFormat="1" applyBorder="1" applyAlignment="1">
      <alignment horizontal="center"/>
    </xf>
    <xf numFmtId="0" fontId="21" fillId="0" borderId="2" xfId="0" applyFont="1" applyBorder="1" applyAlignment="1">
      <alignment horizontal="center"/>
    </xf>
    <xf numFmtId="9" fontId="0" fillId="0" borderId="5" xfId="0" applyNumberFormat="1" applyBorder="1" applyAlignment="1">
      <alignment horizontal="center"/>
    </xf>
    <xf numFmtId="164" fontId="0" fillId="0" borderId="2" xfId="1" applyNumberFormat="1" applyFont="1" applyBorder="1" applyAlignment="1">
      <alignment horizontal="center"/>
    </xf>
    <xf numFmtId="43" fontId="0" fillId="0" borderId="2" xfId="1" applyFont="1" applyBorder="1" applyAlignment="1">
      <alignment horizontal="center"/>
    </xf>
    <xf numFmtId="164" fontId="0" fillId="0" borderId="5" xfId="1" applyNumberFormat="1" applyFont="1" applyBorder="1" applyAlignment="1">
      <alignment horizontal="center"/>
    </xf>
    <xf numFmtId="43" fontId="0" fillId="0" borderId="5" xfId="1" applyFont="1" applyBorder="1" applyAlignment="1">
      <alignment horizontal="center"/>
    </xf>
    <xf numFmtId="0" fontId="19" fillId="0" borderId="2" xfId="0" applyFont="1" applyBorder="1" applyAlignment="1">
      <alignment horizontal="center"/>
    </xf>
    <xf numFmtId="164" fontId="19" fillId="0" borderId="2" xfId="1" applyNumberFormat="1" applyFont="1" applyBorder="1" applyAlignment="1">
      <alignment horizontal="center"/>
    </xf>
    <xf numFmtId="43" fontId="19" fillId="0" borderId="2" xfId="1" applyNumberFormat="1" applyFont="1" applyBorder="1" applyAlignment="1">
      <alignment horizontal="center"/>
    </xf>
    <xf numFmtId="44" fontId="0" fillId="0" borderId="2" xfId="2" applyFont="1" applyBorder="1" applyAlignment="1">
      <alignment horizontal="center"/>
    </xf>
    <xf numFmtId="44" fontId="0" fillId="0" borderId="5" xfId="2" applyFont="1" applyBorder="1" applyAlignment="1">
      <alignment horizontal="center"/>
    </xf>
    <xf numFmtId="4" fontId="0" fillId="0" borderId="2" xfId="0" applyNumberFormat="1" applyBorder="1" applyAlignment="1">
      <alignment horizontal="center"/>
    </xf>
    <xf numFmtId="39" fontId="0" fillId="0" borderId="0" xfId="0" applyNumberFormat="1" applyBorder="1" applyAlignment="1">
      <alignment horizontal="center"/>
    </xf>
    <xf numFmtId="4" fontId="0" fillId="0" borderId="0" xfId="0" applyNumberFormat="1" applyBorder="1" applyAlignment="1">
      <alignment horizontal="center"/>
    </xf>
    <xf numFmtId="4" fontId="0" fillId="0" borderId="5" xfId="0" applyNumberFormat="1" applyBorder="1" applyAlignment="1">
      <alignment horizontal="center"/>
    </xf>
    <xf numFmtId="3" fontId="0" fillId="0" borderId="2"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39" fontId="0" fillId="0" borderId="5" xfId="0" applyNumberFormat="1" applyBorder="1" applyAlignment="1">
      <alignment horizontal="center"/>
    </xf>
    <xf numFmtId="0" fontId="21" fillId="0" borderId="0" xfId="0" applyFont="1"/>
    <xf numFmtId="39" fontId="0" fillId="0" borderId="0" xfId="0" applyNumberFormat="1" applyFill="1" applyBorder="1" applyAlignment="1">
      <alignment horizontal="center"/>
    </xf>
    <xf numFmtId="0" fontId="0" fillId="6" borderId="0" xfId="0" applyFill="1" applyAlignment="1">
      <alignment horizontal="center"/>
    </xf>
    <xf numFmtId="0" fontId="15" fillId="0" borderId="0" xfId="0" applyFont="1" applyAlignment="1">
      <alignment horizontal="left"/>
    </xf>
    <xf numFmtId="0" fontId="15" fillId="0" borderId="0" xfId="0" applyFont="1"/>
    <xf numFmtId="172" fontId="0" fillId="0" borderId="0" xfId="0" applyNumberFormat="1"/>
    <xf numFmtId="172" fontId="0" fillId="0" borderId="2" xfId="0" applyNumberFormat="1" applyBorder="1"/>
    <xf numFmtId="0" fontId="0" fillId="0" borderId="5" xfId="0" applyBorder="1" applyAlignment="1">
      <alignment horizontal="center" vertical="center" wrapText="1"/>
    </xf>
    <xf numFmtId="0" fontId="0" fillId="0" borderId="12" xfId="0" applyFill="1" applyBorder="1" applyAlignment="1">
      <alignment horizontal="center" vertical="center" wrapText="1"/>
    </xf>
    <xf numFmtId="173" fontId="0" fillId="0" borderId="0" xfId="0" applyNumberFormat="1"/>
    <xf numFmtId="3" fontId="0" fillId="0" borderId="5" xfId="0" applyNumberFormat="1" applyBorder="1"/>
    <xf numFmtId="3" fontId="0" fillId="2" borderId="0" xfId="0" applyNumberFormat="1" applyFill="1"/>
    <xf numFmtId="173" fontId="0" fillId="2" borderId="0" xfId="0" applyNumberFormat="1" applyFill="1"/>
    <xf numFmtId="0" fontId="0" fillId="0" borderId="0" xfId="0" applyFill="1"/>
    <xf numFmtId="0" fontId="27" fillId="0" borderId="0" xfId="0" applyFont="1"/>
    <xf numFmtId="0" fontId="21" fillId="0" borderId="0" xfId="0" applyFont="1" applyAlignment="1">
      <alignment horizontal="left"/>
    </xf>
    <xf numFmtId="14" fontId="0" fillId="0" borderId="0" xfId="0" applyNumberFormat="1" applyAlignment="1">
      <alignment horizontal="left"/>
    </xf>
    <xf numFmtId="14" fontId="28" fillId="0" borderId="0" xfId="0" applyNumberFormat="1" applyFont="1" applyAlignment="1">
      <alignment horizontal="left"/>
    </xf>
    <xf numFmtId="15" fontId="21" fillId="0" borderId="0" xfId="0" quotePrefix="1" applyNumberFormat="1" applyFont="1" applyBorder="1" applyAlignment="1">
      <alignment horizontal="left"/>
    </xf>
    <xf numFmtId="0" fontId="0" fillId="0" borderId="3" xfId="0" applyFill="1" applyBorder="1"/>
    <xf numFmtId="39" fontId="0" fillId="0" borderId="0" xfId="0" applyNumberFormat="1" applyFill="1" applyBorder="1"/>
    <xf numFmtId="39" fontId="0" fillId="0" borderId="0" xfId="1" applyNumberFormat="1" applyFont="1" applyFill="1"/>
    <xf numFmtId="43" fontId="0" fillId="0" borderId="0" xfId="1" applyFont="1" applyFill="1"/>
    <xf numFmtId="0" fontId="10" fillId="0" borderId="3" xfId="0" applyFont="1" applyFill="1" applyBorder="1"/>
    <xf numFmtId="39" fontId="0" fillId="0" borderId="0" xfId="0" applyNumberFormat="1" applyFill="1"/>
    <xf numFmtId="0" fontId="16" fillId="0" borderId="3" xfId="0" applyFont="1" applyFill="1" applyBorder="1" applyAlignment="1">
      <alignment horizontal="center"/>
    </xf>
    <xf numFmtId="0" fontId="29" fillId="0" borderId="3" xfId="0" applyFont="1" applyFill="1" applyBorder="1"/>
    <xf numFmtId="0" fontId="29" fillId="0" borderId="4" xfId="0" applyFont="1" applyFill="1" applyBorder="1"/>
    <xf numFmtId="0" fontId="0" fillId="0" borderId="0" xfId="0" applyFill="1" applyAlignment="1">
      <alignment horizontal="center"/>
    </xf>
    <xf numFmtId="7" fontId="0" fillId="0" borderId="0" xfId="0" applyNumberFormat="1"/>
    <xf numFmtId="7" fontId="0" fillId="2" borderId="0" xfId="0" applyNumberFormat="1" applyFill="1"/>
    <xf numFmtId="7" fontId="0" fillId="0" borderId="0" xfId="0" applyNumberFormat="1" applyBorder="1" applyAlignment="1">
      <alignment horizontal="center"/>
    </xf>
    <xf numFmtId="39" fontId="0" fillId="0" borderId="5" xfId="0" quotePrefix="1" applyNumberFormat="1" applyBorder="1" applyAlignment="1">
      <alignment horizontal="center"/>
    </xf>
    <xf numFmtId="39" fontId="22" fillId="0" borderId="0" xfId="1" quotePrefix="1" applyNumberFormat="1" applyFont="1" applyBorder="1" applyAlignment="1">
      <alignment horizontal="center"/>
    </xf>
    <xf numFmtId="39" fontId="29" fillId="0" borderId="0" xfId="1" applyNumberFormat="1" applyFont="1" applyFill="1"/>
    <xf numFmtId="39" fontId="29" fillId="2" borderId="0" xfId="1" applyNumberFormat="1" applyFont="1" applyFill="1"/>
    <xf numFmtId="39" fontId="29" fillId="0" borderId="0" xfId="1" applyNumberFormat="1" applyFont="1"/>
    <xf numFmtId="39" fontId="29" fillId="3" borderId="0" xfId="1" applyNumberFormat="1" applyFont="1" applyFill="1"/>
    <xf numFmtId="39" fontId="0" fillId="0" borderId="0" xfId="1" applyNumberFormat="1" applyFont="1" applyBorder="1"/>
    <xf numFmtId="39" fontId="19" fillId="0" borderId="2" xfId="1" applyNumberFormat="1" applyFont="1" applyBorder="1" applyAlignment="1">
      <alignment horizontal="center"/>
    </xf>
    <xf numFmtId="39" fontId="19" fillId="0" borderId="0" xfId="1" applyNumberFormat="1" applyFont="1" applyFill="1"/>
    <xf numFmtId="165" fontId="0" fillId="0" borderId="5" xfId="0" applyNumberFormat="1" applyBorder="1" applyAlignment="1">
      <alignment horizontal="left"/>
    </xf>
    <xf numFmtId="0" fontId="19" fillId="0" borderId="0" xfId="0" applyFont="1" applyFill="1"/>
    <xf numFmtId="164" fontId="19" fillId="0" borderId="0" xfId="1" applyNumberFormat="1" applyFont="1" applyFill="1"/>
    <xf numFmtId="39" fontId="20" fillId="0" borderId="0" xfId="1" applyNumberFormat="1" applyFont="1"/>
    <xf numFmtId="3" fontId="19" fillId="0" borderId="0" xfId="1" applyNumberFormat="1" applyFont="1"/>
    <xf numFmtId="3" fontId="19" fillId="0" borderId="0" xfId="1" applyNumberFormat="1" applyFont="1" applyFill="1"/>
    <xf numFmtId="3" fontId="20" fillId="0" borderId="0" xfId="1" applyNumberFormat="1" applyFont="1"/>
    <xf numFmtId="3" fontId="0" fillId="0" borderId="0" xfId="1" applyNumberFormat="1" applyFont="1"/>
    <xf numFmtId="4" fontId="19" fillId="0" borderId="0" xfId="1" applyNumberFormat="1" applyFont="1"/>
    <xf numFmtId="4" fontId="19" fillId="0" borderId="2" xfId="1" applyNumberFormat="1" applyFont="1" applyBorder="1" applyAlignment="1">
      <alignment horizontal="center"/>
    </xf>
    <xf numFmtId="4" fontId="19" fillId="0" borderId="0" xfId="1" applyNumberFormat="1" applyFont="1" applyFill="1"/>
    <xf numFmtId="4" fontId="20" fillId="0" borderId="0" xfId="1" applyNumberFormat="1" applyFont="1"/>
    <xf numFmtId="4" fontId="0" fillId="0" borderId="0" xfId="1" applyNumberFormat="1" applyFont="1"/>
    <xf numFmtId="44" fontId="25" fillId="0" borderId="0" xfId="2" applyFont="1" applyBorder="1" applyAlignment="1">
      <alignment horizontal="center"/>
    </xf>
    <xf numFmtId="44" fontId="25" fillId="0" borderId="0" xfId="2" applyFont="1" applyBorder="1"/>
    <xf numFmtId="39" fontId="0" fillId="0" borderId="5" xfId="0" applyNumberFormat="1" applyFill="1" applyBorder="1" applyAlignment="1">
      <alignment horizontal="center"/>
    </xf>
    <xf numFmtId="0" fontId="0" fillId="0" borderId="0" xfId="0" applyNumberFormat="1" applyFill="1" applyAlignment="1">
      <alignment horizontal="center"/>
    </xf>
    <xf numFmtId="39" fontId="0" fillId="0" borderId="0" xfId="0" applyNumberFormat="1" applyFill="1" applyAlignment="1">
      <alignment horizontal="right"/>
    </xf>
    <xf numFmtId="0" fontId="0" fillId="0" borderId="0" xfId="0" applyNumberFormat="1" applyFill="1" applyAlignment="1">
      <alignment horizontal="left"/>
    </xf>
    <xf numFmtId="0" fontId="15" fillId="0" borderId="2" xfId="0" applyFont="1" applyBorder="1" applyAlignment="1">
      <alignment horizontal="center"/>
    </xf>
    <xf numFmtId="0" fontId="25" fillId="0" borderId="0" xfId="0" applyFont="1"/>
    <xf numFmtId="14" fontId="10" fillId="0" borderId="0" xfId="0" applyNumberFormat="1" applyFont="1" applyAlignment="1">
      <alignment horizontal="left"/>
    </xf>
    <xf numFmtId="2" fontId="10" fillId="0" borderId="0" xfId="0" applyNumberFormat="1" applyFont="1"/>
    <xf numFmtId="2" fontId="10" fillId="0" borderId="0" xfId="0" applyNumberFormat="1" applyFont="1" applyBorder="1" applyAlignment="1">
      <alignment horizontal="center"/>
    </xf>
    <xf numFmtId="2" fontId="10" fillId="0" borderId="5" xfId="0" applyNumberFormat="1" applyFont="1" applyBorder="1" applyAlignment="1">
      <alignment horizontal="center"/>
    </xf>
    <xf numFmtId="2" fontId="10" fillId="2" borderId="0" xfId="0" applyNumberFormat="1" applyFont="1" applyFill="1"/>
    <xf numFmtId="0" fontId="28" fillId="0" borderId="2" xfId="0" applyFont="1" applyBorder="1" applyAlignment="1">
      <alignment horizontal="left"/>
    </xf>
    <xf numFmtId="0" fontId="28" fillId="0" borderId="5" xfId="0" applyFont="1" applyBorder="1" applyAlignment="1">
      <alignment horizontal="left"/>
    </xf>
    <xf numFmtId="0" fontId="21" fillId="0" borderId="2" xfId="0" applyFont="1" applyBorder="1" applyAlignment="1">
      <alignment horizontal="left"/>
    </xf>
    <xf numFmtId="0" fontId="21" fillId="0" borderId="5" xfId="0" applyFont="1" applyBorder="1" applyAlignment="1">
      <alignment horizontal="left"/>
    </xf>
    <xf numFmtId="14" fontId="28" fillId="0" borderId="12" xfId="0" applyNumberFormat="1" applyFont="1" applyBorder="1" applyAlignment="1">
      <alignment horizontal="left"/>
    </xf>
    <xf numFmtId="14" fontId="0" fillId="0" borderId="12" xfId="0" applyNumberFormat="1" applyBorder="1" applyAlignment="1">
      <alignment horizontal="left"/>
    </xf>
    <xf numFmtId="0" fontId="21" fillId="0" borderId="12" xfId="0" applyFont="1" applyBorder="1"/>
    <xf numFmtId="164" fontId="19" fillId="0" borderId="12" xfId="1" applyNumberFormat="1" applyFont="1" applyBorder="1"/>
    <xf numFmtId="39" fontId="19" fillId="0" borderId="12" xfId="1" applyNumberFormat="1" applyFont="1" applyBorder="1"/>
    <xf numFmtId="3" fontId="19" fillId="0" borderId="12" xfId="1" applyNumberFormat="1" applyFont="1" applyBorder="1"/>
    <xf numFmtId="4" fontId="19" fillId="0" borderId="12" xfId="1" applyNumberFormat="1" applyFont="1" applyBorder="1"/>
    <xf numFmtId="164" fontId="30" fillId="0" borderId="0" xfId="1" applyNumberFormat="1" applyFont="1"/>
    <xf numFmtId="0" fontId="15" fillId="0" borderId="0" xfId="0" applyFont="1" applyAlignment="1"/>
    <xf numFmtId="0" fontId="17" fillId="0" borderId="2" xfId="0" applyFont="1" applyBorder="1"/>
    <xf numFmtId="0" fontId="17" fillId="0" borderId="5" xfId="0" applyFont="1" applyBorder="1"/>
    <xf numFmtId="43" fontId="21" fillId="0" borderId="2" xfId="1" applyFont="1" applyBorder="1" applyAlignment="1">
      <alignment horizontal="center"/>
    </xf>
    <xf numFmtId="0" fontId="21" fillId="0" borderId="0" xfId="0" applyFont="1" applyBorder="1" applyAlignment="1">
      <alignment horizontal="center"/>
    </xf>
    <xf numFmtId="43" fontId="21" fillId="0" borderId="0" xfId="1" applyFont="1" applyBorder="1" applyAlignment="1">
      <alignment horizontal="center"/>
    </xf>
    <xf numFmtId="43" fontId="21" fillId="0" borderId="5" xfId="1" applyFont="1" applyBorder="1" applyAlignment="1">
      <alignment horizontal="center"/>
    </xf>
    <xf numFmtId="0" fontId="17" fillId="0" borderId="0" xfId="0" applyFont="1"/>
    <xf numFmtId="43" fontId="25" fillId="0" borderId="0" xfId="1" applyFont="1"/>
    <xf numFmtId="0" fontId="31" fillId="0" borderId="0" xfId="0" applyFont="1"/>
    <xf numFmtId="0" fontId="28" fillId="0" borderId="0" xfId="0" applyFont="1"/>
    <xf numFmtId="0" fontId="28" fillId="0" borderId="5" xfId="0" applyFont="1" applyBorder="1"/>
    <xf numFmtId="39" fontId="24" fillId="0" borderId="5" xfId="0" applyNumberFormat="1" applyFont="1" applyBorder="1"/>
    <xf numFmtId="43" fontId="10" fillId="0" borderId="0" xfId="1" applyFont="1" applyAlignment="1">
      <alignment horizontal="center"/>
    </xf>
    <xf numFmtId="39" fontId="10" fillId="0" borderId="0" xfId="1" applyNumberFormat="1" applyFont="1" applyAlignment="1">
      <alignment horizontal="center"/>
    </xf>
    <xf numFmtId="39" fontId="19" fillId="0" borderId="0" xfId="0" applyNumberFormat="1" applyFont="1" applyFill="1" applyBorder="1"/>
    <xf numFmtId="0" fontId="32" fillId="0" borderId="0" xfId="0" applyFont="1" applyAlignment="1">
      <alignment horizontal="left"/>
    </xf>
    <xf numFmtId="0" fontId="32" fillId="0" borderId="2" xfId="0" applyFont="1" applyBorder="1" applyAlignment="1">
      <alignment horizontal="left"/>
    </xf>
    <xf numFmtId="0" fontId="32" fillId="0" borderId="5" xfId="0" applyFont="1" applyBorder="1" applyAlignment="1">
      <alignment horizontal="left"/>
    </xf>
    <xf numFmtId="7" fontId="33" fillId="0" borderId="0" xfId="0" applyNumberFormat="1" applyFont="1"/>
    <xf numFmtId="7" fontId="33" fillId="0" borderId="0" xfId="0" applyNumberFormat="1" applyFont="1" applyBorder="1" applyAlignment="1">
      <alignment horizontal="center"/>
    </xf>
    <xf numFmtId="7" fontId="33" fillId="2" borderId="0" xfId="0" applyNumberFormat="1" applyFont="1" applyFill="1"/>
    <xf numFmtId="7" fontId="33" fillId="6" borderId="0" xfId="2" applyNumberFormat="1" applyFont="1" applyFill="1"/>
    <xf numFmtId="7" fontId="33" fillId="2" borderId="0" xfId="0" applyNumberFormat="1" applyFont="1" applyFill="1" applyBorder="1"/>
    <xf numFmtId="0" fontId="14" fillId="0" borderId="0" xfId="0" applyFont="1" applyAlignment="1">
      <alignment wrapText="1"/>
    </xf>
    <xf numFmtId="0" fontId="13" fillId="0" borderId="0" xfId="0" applyFont="1" applyAlignment="1">
      <alignment wrapText="1"/>
    </xf>
    <xf numFmtId="0" fontId="0" fillId="0" borderId="11" xfId="0" applyBorder="1"/>
    <xf numFmtId="0" fontId="19" fillId="0" borderId="0" xfId="0" applyFont="1" applyFill="1" applyBorder="1"/>
    <xf numFmtId="39" fontId="10" fillId="0" borderId="3" xfId="0" applyNumberFormat="1" applyFont="1" applyBorder="1"/>
    <xf numFmtId="0" fontId="19" fillId="0" borderId="0" xfId="0" applyFont="1" applyAlignment="1">
      <alignment horizontal="right"/>
    </xf>
    <xf numFmtId="0" fontId="19" fillId="2" borderId="0" xfId="0" applyFont="1" applyFill="1" applyAlignment="1">
      <alignment horizontal="right"/>
    </xf>
    <xf numFmtId="0" fontId="0" fillId="2" borderId="0" xfId="0" applyFill="1" applyAlignment="1">
      <alignment horizontal="right"/>
    </xf>
    <xf numFmtId="1" fontId="0" fillId="0" borderId="0" xfId="0" quotePrefix="1" applyNumberFormat="1" applyAlignment="1">
      <alignment horizontal="right"/>
    </xf>
    <xf numFmtId="0" fontId="0" fillId="0" borderId="0" xfId="0" quotePrefix="1" applyAlignment="1">
      <alignment horizontal="right"/>
    </xf>
    <xf numFmtId="0" fontId="19" fillId="3" borderId="0" xfId="0" applyFont="1" applyFill="1" applyAlignment="1">
      <alignment horizontal="right"/>
    </xf>
    <xf numFmtId="0" fontId="0" fillId="3" borderId="0" xfId="0" applyFill="1" applyAlignment="1">
      <alignment horizontal="right"/>
    </xf>
    <xf numFmtId="0" fontId="10" fillId="0" borderId="2" xfId="0" applyFont="1" applyBorder="1" applyAlignment="1">
      <alignment horizontal="center"/>
    </xf>
    <xf numFmtId="0" fontId="10" fillId="0" borderId="5" xfId="0" applyFont="1" applyBorder="1" applyAlignment="1">
      <alignment horizontal="center"/>
    </xf>
    <xf numFmtId="7" fontId="0" fillId="10" borderId="0" xfId="2" applyNumberFormat="1" applyFont="1" applyFill="1"/>
    <xf numFmtId="7" fontId="0" fillId="3" borderId="0" xfId="0" applyNumberFormat="1" applyFill="1"/>
    <xf numFmtId="7" fontId="0" fillId="0" borderId="0" xfId="0" applyNumberFormat="1" applyFill="1"/>
    <xf numFmtId="3" fontId="10" fillId="0" borderId="0" xfId="0" applyNumberFormat="1" applyFont="1"/>
    <xf numFmtId="10" fontId="10" fillId="0" borderId="10" xfId="0" applyNumberFormat="1" applyFont="1" applyBorder="1"/>
    <xf numFmtId="0" fontId="19" fillId="0" borderId="0" xfId="0" applyFont="1" applyFill="1" applyBorder="1" applyAlignment="1">
      <alignment horizontal="center"/>
    </xf>
    <xf numFmtId="0" fontId="33" fillId="0" borderId="3" xfId="0" applyFont="1" applyFill="1" applyBorder="1"/>
    <xf numFmtId="0" fontId="38" fillId="0" borderId="3" xfId="0" applyFont="1" applyFill="1" applyBorder="1"/>
    <xf numFmtId="0" fontId="10" fillId="0" borderId="0" xfId="0" applyFont="1" applyFill="1"/>
    <xf numFmtId="0" fontId="19" fillId="0" borderId="3" xfId="0" applyFont="1" applyBorder="1"/>
    <xf numFmtId="0" fontId="19" fillId="0" borderId="10" xfId="0" applyFont="1" applyBorder="1" applyAlignment="1">
      <alignment horizontal="center"/>
    </xf>
    <xf numFmtId="0" fontId="19" fillId="0" borderId="0" xfId="0" applyFont="1" applyFill="1" applyAlignment="1">
      <alignment horizontal="center"/>
    </xf>
    <xf numFmtId="39" fontId="0" fillId="6" borderId="5" xfId="0" applyNumberFormat="1" applyFill="1" applyBorder="1"/>
    <xf numFmtId="39" fontId="0" fillId="6" borderId="7" xfId="0" applyNumberFormat="1" applyFill="1" applyBorder="1"/>
    <xf numFmtId="0" fontId="17" fillId="0" borderId="2" xfId="0" applyFont="1" applyBorder="1" applyAlignment="1">
      <alignment horizontal="center"/>
    </xf>
    <xf numFmtId="0" fontId="17" fillId="0" borderId="0" xfId="0" applyFont="1" applyAlignment="1">
      <alignment horizontal="center"/>
    </xf>
    <xf numFmtId="0" fontId="17" fillId="0" borderId="5" xfId="0" applyFont="1" applyBorder="1" applyAlignment="1">
      <alignment horizontal="center"/>
    </xf>
    <xf numFmtId="0" fontId="17" fillId="0" borderId="0" xfId="0" applyFont="1" applyFill="1" applyBorder="1" applyAlignment="1">
      <alignment horizontal="center"/>
    </xf>
    <xf numFmtId="0" fontId="19" fillId="0" borderId="5" xfId="0" applyFont="1" applyFill="1" applyBorder="1" applyAlignment="1">
      <alignment horizontal="center"/>
    </xf>
    <xf numFmtId="39" fontId="21" fillId="6" borderId="6" xfId="0" applyNumberFormat="1" applyFont="1" applyFill="1" applyBorder="1"/>
    <xf numFmtId="1" fontId="17" fillId="0" borderId="12" xfId="0" applyNumberFormat="1" applyFont="1" applyBorder="1" applyAlignment="1">
      <alignment horizontal="center"/>
    </xf>
    <xf numFmtId="0" fontId="19" fillId="0" borderId="0" xfId="0" applyFont="1" applyBorder="1"/>
    <xf numFmtId="173" fontId="0" fillId="0" borderId="0" xfId="0" applyNumberFormat="1" applyFill="1"/>
    <xf numFmtId="173" fontId="0" fillId="0" borderId="5" xfId="0" applyNumberFormat="1" applyFill="1" applyBorder="1"/>
    <xf numFmtId="173" fontId="19" fillId="0" borderId="0" xfId="0" applyNumberFormat="1" applyFont="1" applyFill="1"/>
    <xf numFmtId="0" fontId="10" fillId="0" borderId="3" xfId="0" applyFont="1" applyBorder="1"/>
    <xf numFmtId="0" fontId="21" fillId="0" borderId="0" xfId="0" applyFont="1" applyAlignment="1">
      <alignment horizontal="left"/>
    </xf>
    <xf numFmtId="14" fontId="10" fillId="0" borderId="5" xfId="0" applyNumberFormat="1" applyFont="1" applyBorder="1" applyAlignment="1">
      <alignment horizontal="center"/>
    </xf>
    <xf numFmtId="2" fontId="10" fillId="0" borderId="2" xfId="0" applyNumberFormat="1" applyFont="1" applyBorder="1" applyAlignment="1">
      <alignment horizontal="center"/>
    </xf>
    <xf numFmtId="7" fontId="10" fillId="0" borderId="2" xfId="0" applyNumberFormat="1" applyFont="1" applyBorder="1" applyAlignment="1">
      <alignment horizontal="center"/>
    </xf>
    <xf numFmtId="39" fontId="0" fillId="14" borderId="0" xfId="0" applyNumberFormat="1" applyFill="1" applyBorder="1"/>
    <xf numFmtId="0" fontId="18" fillId="0" borderId="0" xfId="0" applyFont="1"/>
    <xf numFmtId="43" fontId="40" fillId="3" borderId="0" xfId="1" applyFont="1" applyFill="1"/>
    <xf numFmtId="43" fontId="40" fillId="0" borderId="0" xfId="1" applyFont="1" applyFill="1"/>
    <xf numFmtId="39" fontId="0" fillId="0" borderId="23" xfId="0" applyNumberFormat="1" applyBorder="1"/>
    <xf numFmtId="39" fontId="0" fillId="5" borderId="23" xfId="0" applyNumberFormat="1" applyFill="1" applyBorder="1"/>
    <xf numFmtId="39" fontId="0" fillId="6" borderId="23" xfId="0" applyNumberFormat="1" applyFill="1" applyBorder="1"/>
    <xf numFmtId="39" fontId="0" fillId="4" borderId="23" xfId="0" applyNumberFormat="1" applyFill="1" applyBorder="1"/>
    <xf numFmtId="4" fontId="10" fillId="0" borderId="24" xfId="0" applyNumberFormat="1" applyFont="1" applyBorder="1" applyAlignment="1">
      <alignment horizontal="center"/>
    </xf>
    <xf numFmtId="4" fontId="0" fillId="0" borderId="23" xfId="0" applyNumberFormat="1" applyBorder="1" applyAlignment="1">
      <alignment horizontal="center"/>
    </xf>
    <xf numFmtId="4" fontId="10" fillId="0" borderId="25" xfId="0" applyNumberFormat="1" applyFont="1" applyBorder="1" applyAlignment="1">
      <alignment horizontal="center"/>
    </xf>
    <xf numFmtId="39" fontId="21" fillId="0" borderId="24" xfId="0" applyNumberFormat="1" applyFont="1" applyBorder="1" applyAlignment="1">
      <alignment horizontal="center"/>
    </xf>
    <xf numFmtId="39" fontId="21" fillId="0" borderId="23" xfId="0" applyNumberFormat="1" applyFont="1" applyBorder="1" applyAlignment="1">
      <alignment horizontal="center"/>
    </xf>
    <xf numFmtId="39" fontId="21" fillId="0" borderId="25" xfId="0" applyNumberFormat="1" applyFont="1" applyBorder="1" applyAlignment="1">
      <alignment horizontal="center"/>
    </xf>
    <xf numFmtId="39" fontId="21" fillId="0" borderId="23" xfId="0" applyNumberFormat="1" applyFont="1" applyBorder="1"/>
    <xf numFmtId="49" fontId="19" fillId="0" borderId="0" xfId="1" applyNumberFormat="1" applyFont="1" applyAlignment="1">
      <alignment horizontal="center"/>
    </xf>
    <xf numFmtId="49" fontId="19" fillId="0" borderId="0" xfId="1" applyNumberFormat="1" applyFont="1" applyBorder="1" applyAlignment="1">
      <alignment horizontal="center"/>
    </xf>
    <xf numFmtId="49" fontId="10" fillId="0" borderId="0" xfId="1" applyNumberFormat="1" applyFont="1" applyBorder="1" applyAlignment="1">
      <alignment horizontal="center"/>
    </xf>
    <xf numFmtId="49" fontId="19" fillId="0" borderId="0" xfId="0" applyNumberFormat="1" applyFont="1" applyBorder="1" applyAlignment="1">
      <alignment horizontal="center"/>
    </xf>
    <xf numFmtId="49" fontId="0" fillId="0" borderId="0" xfId="0" applyNumberFormat="1" applyBorder="1"/>
    <xf numFmtId="49" fontId="19" fillId="0" borderId="5" xfId="0" applyNumberFormat="1" applyFont="1" applyBorder="1" applyAlignment="1">
      <alignment horizontal="center"/>
    </xf>
    <xf numFmtId="49" fontId="10" fillId="0" borderId="5" xfId="1" quotePrefix="1" applyNumberFormat="1" applyFont="1" applyBorder="1" applyAlignment="1">
      <alignment horizontal="center"/>
    </xf>
    <xf numFmtId="49" fontId="19" fillId="0" borderId="5" xfId="1" applyNumberFormat="1" applyFont="1" applyBorder="1" applyAlignment="1">
      <alignment horizontal="center"/>
    </xf>
    <xf numFmtId="49" fontId="10" fillId="0" borderId="5" xfId="1" applyNumberFormat="1" applyFont="1" applyBorder="1" applyAlignment="1">
      <alignment horizontal="center"/>
    </xf>
    <xf numFmtId="49" fontId="10" fillId="0" borderId="0" xfId="1" applyNumberFormat="1" applyFont="1" applyAlignment="1">
      <alignment horizontal="center"/>
    </xf>
    <xf numFmtId="0" fontId="0" fillId="0" borderId="0" xfId="0" applyAlignment="1"/>
    <xf numFmtId="0" fontId="19" fillId="15" borderId="0" xfId="0" applyFont="1" applyFill="1"/>
    <xf numFmtId="0" fontId="19" fillId="11" borderId="0" xfId="0" applyFont="1" applyFill="1"/>
    <xf numFmtId="0" fontId="19" fillId="16" borderId="0" xfId="0" applyFont="1" applyFill="1"/>
    <xf numFmtId="0" fontId="43" fillId="0" borderId="0" xfId="0" applyFont="1"/>
    <xf numFmtId="0" fontId="0" fillId="0" borderId="2" xfId="0" applyBorder="1" applyAlignment="1">
      <alignment horizontal="center"/>
    </xf>
    <xf numFmtId="0" fontId="21" fillId="0" borderId="0" xfId="0" applyFont="1" applyAlignment="1">
      <alignment horizontal="left"/>
    </xf>
    <xf numFmtId="7" fontId="0" fillId="0" borderId="0" xfId="2" applyNumberFormat="1" applyFont="1" applyAlignment="1">
      <alignment horizontal="right"/>
    </xf>
    <xf numFmtId="7" fontId="0" fillId="0" borderId="0" xfId="0" applyNumberFormat="1" applyAlignment="1">
      <alignment horizontal="right"/>
    </xf>
    <xf numFmtId="7" fontId="0" fillId="5" borderId="0" xfId="0" applyNumberFormat="1" applyFill="1" applyAlignment="1">
      <alignment horizontal="right"/>
    </xf>
    <xf numFmtId="7" fontId="0" fillId="3" borderId="0" xfId="0" applyNumberFormat="1" applyFill="1" applyAlignment="1">
      <alignment horizontal="right"/>
    </xf>
    <xf numFmtId="44" fontId="10" fillId="0" borderId="2" xfId="2" applyFont="1" applyBorder="1" applyAlignment="1">
      <alignment horizontal="center"/>
    </xf>
    <xf numFmtId="44" fontId="17" fillId="0" borderId="5" xfId="2" applyFont="1" applyBorder="1" applyAlignment="1">
      <alignment horizontal="center"/>
    </xf>
    <xf numFmtId="1" fontId="0" fillId="0" borderId="0" xfId="0" applyNumberFormat="1"/>
    <xf numFmtId="1" fontId="0" fillId="5" borderId="0" xfId="0" applyNumberFormat="1" applyFill="1"/>
    <xf numFmtId="1" fontId="0" fillId="3" borderId="0" xfId="0" applyNumberFormat="1" applyFill="1"/>
    <xf numFmtId="43" fontId="23" fillId="0" borderId="0" xfId="1" applyFont="1" applyFill="1"/>
    <xf numFmtId="0" fontId="10" fillId="18" borderId="0" xfId="0" applyFont="1" applyFill="1"/>
    <xf numFmtId="0" fontId="0" fillId="18" borderId="0" xfId="0" applyFill="1"/>
    <xf numFmtId="39" fontId="0" fillId="18" borderId="0" xfId="1" applyNumberFormat="1" applyFont="1" applyFill="1"/>
    <xf numFmtId="43" fontId="40" fillId="18" borderId="0" xfId="1" applyFont="1" applyFill="1"/>
    <xf numFmtId="0" fontId="10" fillId="0" borderId="0" xfId="0" applyFont="1" applyFill="1" applyBorder="1" applyAlignment="1">
      <alignment horizontal="center"/>
    </xf>
    <xf numFmtId="0" fontId="0" fillId="0" borderId="0" xfId="0"/>
    <xf numFmtId="0" fontId="10" fillId="0" borderId="0" xfId="0" applyFont="1"/>
    <xf numFmtId="172" fontId="10" fillId="0" borderId="5" xfId="0" applyNumberFormat="1" applyFont="1" applyFill="1" applyBorder="1" applyAlignment="1">
      <alignment horizontal="center" vertical="center" wrapText="1"/>
    </xf>
    <xf numFmtId="172" fontId="10" fillId="0" borderId="0" xfId="0" applyNumberFormat="1" applyFont="1"/>
    <xf numFmtId="0" fontId="10" fillId="0" borderId="10" xfId="0" applyFont="1" applyBorder="1"/>
    <xf numFmtId="39" fontId="10" fillId="6" borderId="0" xfId="0" applyNumberFormat="1" applyFont="1" applyFill="1" applyBorder="1"/>
    <xf numFmtId="39" fontId="0" fillId="12" borderId="3" xfId="0" applyNumberFormat="1" applyFill="1" applyBorder="1"/>
    <xf numFmtId="7" fontId="0" fillId="2" borderId="0" xfId="1" applyNumberFormat="1" applyFont="1" applyFill="1"/>
    <xf numFmtId="7" fontId="0" fillId="3" borderId="0" xfId="1" applyNumberFormat="1" applyFont="1" applyFill="1"/>
    <xf numFmtId="164" fontId="10" fillId="0" borderId="0" xfId="1" applyNumberFormat="1" applyFont="1"/>
    <xf numFmtId="0" fontId="10" fillId="2" borderId="0" xfId="0" applyFont="1" applyFill="1"/>
    <xf numFmtId="0" fontId="21" fillId="0" borderId="0" xfId="0" applyFont="1" applyAlignment="1">
      <alignment horizontal="left"/>
    </xf>
    <xf numFmtId="6" fontId="0" fillId="0" borderId="0" xfId="2" applyNumberFormat="1" applyFont="1"/>
    <xf numFmtId="44" fontId="10" fillId="0" borderId="0" xfId="2" applyFont="1"/>
    <xf numFmtId="166" fontId="0" fillId="0" borderId="0" xfId="0" applyNumberFormat="1"/>
    <xf numFmtId="0" fontId="10" fillId="0" borderId="0" xfId="0" applyFont="1" applyAlignment="1">
      <alignment horizontal="right"/>
    </xf>
    <xf numFmtId="0" fontId="10" fillId="2" borderId="0" xfId="0" applyFont="1" applyFill="1" applyAlignment="1">
      <alignment horizontal="right"/>
    </xf>
    <xf numFmtId="0" fontId="10" fillId="3" borderId="0" xfId="0" applyFont="1" applyFill="1" applyAlignment="1">
      <alignment horizontal="right"/>
    </xf>
    <xf numFmtId="0" fontId="10" fillId="0" borderId="0" xfId="0" applyFont="1" applyFill="1" applyAlignment="1">
      <alignment horizontal="center"/>
    </xf>
    <xf numFmtId="0" fontId="48" fillId="0" borderId="0" xfId="0" applyFont="1" applyFill="1"/>
    <xf numFmtId="39" fontId="48" fillId="0" borderId="0" xfId="1" applyNumberFormat="1" applyFont="1" applyFill="1"/>
    <xf numFmtId="43" fontId="48" fillId="0" borderId="0" xfId="1" applyFont="1" applyFill="1"/>
    <xf numFmtId="43" fontId="48" fillId="0" borderId="0" xfId="1" applyFont="1" applyFill="1" applyAlignment="1">
      <alignment horizontal="right"/>
    </xf>
    <xf numFmtId="7" fontId="48" fillId="0" borderId="0" xfId="1" applyNumberFormat="1" applyFont="1" applyFill="1"/>
    <xf numFmtId="0" fontId="48" fillId="0" borderId="0" xfId="0" applyFont="1"/>
    <xf numFmtId="49" fontId="12" fillId="0" borderId="0" xfId="1" quotePrefix="1" applyNumberFormat="1" applyFont="1" applyAlignment="1">
      <alignment horizontal="center"/>
    </xf>
    <xf numFmtId="43" fontId="18" fillId="0" borderId="0" xfId="1" applyFont="1" applyAlignment="1">
      <alignment horizontal="center"/>
    </xf>
    <xf numFmtId="0" fontId="48" fillId="0" borderId="0" xfId="0" applyFont="1" applyFill="1" applyAlignment="1">
      <alignment horizontal="right"/>
    </xf>
    <xf numFmtId="39" fontId="48" fillId="0" borderId="0" xfId="1" applyNumberFormat="1" applyFont="1" applyFill="1" applyAlignment="1">
      <alignment horizontal="right"/>
    </xf>
    <xf numFmtId="43" fontId="48" fillId="0" borderId="0" xfId="1" applyFont="1"/>
    <xf numFmtId="39" fontId="10" fillId="6" borderId="6" xfId="0" applyNumberFormat="1" applyFont="1" applyFill="1" applyBorder="1"/>
    <xf numFmtId="0" fontId="10" fillId="0" borderId="0" xfId="0" applyFont="1"/>
    <xf numFmtId="0" fontId="0" fillId="0" borderId="0" xfId="0" applyFill="1"/>
    <xf numFmtId="39" fontId="10" fillId="0" borderId="1" xfId="0" applyNumberFormat="1" applyFont="1" applyBorder="1" applyAlignment="1">
      <alignment horizontal="center"/>
    </xf>
    <xf numFmtId="44" fontId="0" fillId="0" borderId="0" xfId="0" applyNumberFormat="1"/>
    <xf numFmtId="39" fontId="10" fillId="0" borderId="0" xfId="0" applyNumberFormat="1" applyFont="1" applyFill="1"/>
    <xf numFmtId="7" fontId="10" fillId="0" borderId="5" xfId="0" applyNumberFormat="1" applyFont="1" applyBorder="1" applyAlignment="1">
      <alignment horizontal="center"/>
    </xf>
    <xf numFmtId="164" fontId="10" fillId="0" borderId="2" xfId="1" applyNumberFormat="1" applyFont="1" applyBorder="1" applyAlignment="1">
      <alignment horizontal="center"/>
    </xf>
    <xf numFmtId="173" fontId="10" fillId="0" borderId="0" xfId="0" applyNumberFormat="1" applyFont="1" applyFill="1"/>
    <xf numFmtId="0" fontId="0" fillId="0" borderId="0" xfId="0"/>
    <xf numFmtId="44" fontId="0" fillId="0" borderId="0" xfId="2" applyFont="1"/>
    <xf numFmtId="0" fontId="0" fillId="0" borderId="0" xfId="0" applyFill="1"/>
    <xf numFmtId="0" fontId="0" fillId="0" borderId="1" xfId="0" applyBorder="1" applyAlignment="1">
      <alignment horizontal="center"/>
    </xf>
    <xf numFmtId="167" fontId="0" fillId="0" borderId="5" xfId="0" quotePrefix="1" applyNumberFormat="1" applyBorder="1" applyAlignment="1">
      <alignment horizontal="center"/>
    </xf>
    <xf numFmtId="7" fontId="21" fillId="0" borderId="0" xfId="0" applyNumberFormat="1" applyFont="1"/>
    <xf numFmtId="2" fontId="21" fillId="0" borderId="0" xfId="0" applyNumberFormat="1" applyFont="1"/>
    <xf numFmtId="7" fontId="10" fillId="0" borderId="5" xfId="0" quotePrefix="1" applyNumberFormat="1" applyFont="1" applyBorder="1" applyAlignment="1">
      <alignment horizontal="center"/>
    </xf>
    <xf numFmtId="2" fontId="24" fillId="0" borderId="0" xfId="0" applyNumberFormat="1" applyFont="1"/>
    <xf numFmtId="2" fontId="15" fillId="0" borderId="0" xfId="0" applyNumberFormat="1" applyFont="1" applyAlignment="1"/>
    <xf numFmtId="2" fontId="35" fillId="0" borderId="0" xfId="0" applyNumberFormat="1" applyFont="1" applyAlignment="1">
      <alignment horizontal="left"/>
    </xf>
    <xf numFmtId="2" fontId="35" fillId="0" borderId="2" xfId="0" applyNumberFormat="1" applyFont="1" applyBorder="1" applyAlignment="1">
      <alignment horizontal="left"/>
    </xf>
    <xf numFmtId="2" fontId="35" fillId="0" borderId="5" xfId="0" applyNumberFormat="1" applyFont="1" applyBorder="1" applyAlignment="1">
      <alignment horizontal="left"/>
    </xf>
    <xf numFmtId="2" fontId="10" fillId="6" borderId="0" xfId="0" applyNumberFormat="1" applyFont="1" applyFill="1"/>
    <xf numFmtId="39" fontId="33" fillId="0" borderId="0" xfId="0" applyNumberFormat="1" applyFont="1" applyFill="1" applyBorder="1"/>
    <xf numFmtId="0" fontId="17" fillId="0" borderId="0" xfId="0" applyFont="1" applyFill="1" applyBorder="1"/>
    <xf numFmtId="0" fontId="21" fillId="0" borderId="0" xfId="0" applyFont="1" applyAlignment="1">
      <alignment horizontal="left"/>
    </xf>
    <xf numFmtId="0" fontId="0" fillId="0" borderId="2" xfId="0" applyBorder="1" applyAlignment="1">
      <alignment horizontal="center"/>
    </xf>
    <xf numFmtId="39" fontId="14" fillId="12" borderId="3" xfId="0" applyNumberFormat="1" applyFont="1" applyFill="1" applyBorder="1"/>
    <xf numFmtId="43" fontId="0" fillId="0" borderId="0" xfId="0" applyNumberFormat="1"/>
    <xf numFmtId="0" fontId="0" fillId="0" borderId="0" xfId="0" applyAlignment="1">
      <alignment horizontal="center"/>
    </xf>
    <xf numFmtId="43" fontId="0" fillId="0" borderId="0" xfId="0" applyNumberFormat="1" applyFill="1"/>
    <xf numFmtId="49" fontId="10" fillId="0" borderId="0" xfId="3" applyNumberFormat="1" applyFont="1" applyFill="1" applyBorder="1"/>
    <xf numFmtId="43" fontId="48" fillId="0" borderId="0" xfId="0" applyNumberFormat="1" applyFont="1"/>
    <xf numFmtId="0" fontId="48" fillId="0" borderId="10" xfId="0" applyFont="1" applyBorder="1"/>
    <xf numFmtId="39" fontId="48" fillId="6" borderId="0" xfId="0" applyNumberFormat="1" applyFont="1" applyFill="1" applyBorder="1"/>
    <xf numFmtId="39" fontId="48" fillId="6" borderId="6" xfId="0" applyNumberFormat="1" applyFont="1" applyFill="1" applyBorder="1"/>
    <xf numFmtId="39" fontId="48" fillId="0" borderId="0" xfId="0" applyNumberFormat="1" applyFont="1" applyFill="1"/>
    <xf numFmtId="39" fontId="48" fillId="6" borderId="3" xfId="0" applyNumberFormat="1" applyFont="1" applyFill="1" applyBorder="1"/>
    <xf numFmtId="39" fontId="48" fillId="6" borderId="6" xfId="0" applyNumberFormat="1" applyFont="1" applyFill="1" applyBorder="1" applyAlignment="1">
      <alignment vertical="center" wrapText="1"/>
    </xf>
    <xf numFmtId="167" fontId="0" fillId="0" borderId="0" xfId="0" applyNumberFormat="1"/>
    <xf numFmtId="0" fontId="10" fillId="0" borderId="0" xfId="0" applyFont="1" applyAlignment="1">
      <alignment horizontal="center"/>
    </xf>
    <xf numFmtId="0" fontId="10" fillId="15" borderId="0" xfId="0" applyFont="1" applyFill="1"/>
    <xf numFmtId="0" fontId="10" fillId="0" borderId="0" xfId="0" applyFont="1" applyAlignment="1">
      <alignment horizontal="center"/>
    </xf>
    <xf numFmtId="0" fontId="54" fillId="0" borderId="0" xfId="0" applyFont="1" applyAlignment="1">
      <alignment horizontal="left"/>
    </xf>
    <xf numFmtId="0" fontId="55" fillId="3" borderId="0" xfId="0" applyFont="1" applyFill="1" applyAlignment="1">
      <alignment horizontal="right"/>
    </xf>
    <xf numFmtId="7" fontId="0" fillId="0" borderId="0" xfId="2" applyNumberFormat="1" applyFont="1"/>
    <xf numFmtId="0" fontId="21" fillId="0" borderId="4" xfId="0" applyFont="1" applyFill="1" applyBorder="1" applyAlignment="1">
      <alignment horizontal="left"/>
    </xf>
    <xf numFmtId="0" fontId="0" fillId="0" borderId="9" xfId="0" applyFill="1" applyBorder="1" applyAlignment="1">
      <alignment horizontal="center"/>
    </xf>
    <xf numFmtId="0" fontId="17" fillId="0" borderId="9" xfId="0" applyFont="1" applyFill="1" applyBorder="1" applyAlignment="1">
      <alignment horizontal="center"/>
    </xf>
    <xf numFmtId="39" fontId="0" fillId="0" borderId="9" xfId="0" applyNumberForma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alignment horizontal="center"/>
    </xf>
    <xf numFmtId="39" fontId="0" fillId="0" borderId="10" xfId="0" applyNumberFormat="1" applyFill="1" applyBorder="1" applyAlignment="1">
      <alignment horizontal="center"/>
    </xf>
    <xf numFmtId="39" fontId="10" fillId="0" borderId="10" xfId="0" applyNumberFormat="1" applyFont="1" applyFill="1" applyBorder="1" applyAlignment="1">
      <alignment horizontal="center"/>
    </xf>
    <xf numFmtId="170" fontId="0" fillId="0" borderId="10" xfId="0" applyNumberFormat="1" applyFill="1" applyBorder="1" applyAlignment="1">
      <alignment horizontal="center"/>
    </xf>
    <xf numFmtId="0" fontId="0" fillId="0" borderId="11" xfId="0" applyFill="1" applyBorder="1" applyAlignment="1">
      <alignment horizontal="center"/>
    </xf>
    <xf numFmtId="0" fontId="17" fillId="0" borderId="11" xfId="0" applyFont="1" applyFill="1" applyBorder="1" applyAlignment="1">
      <alignment horizontal="center"/>
    </xf>
    <xf numFmtId="39" fontId="0" fillId="0" borderId="11" xfId="0" applyNumberFormat="1" applyFill="1" applyBorder="1" applyAlignment="1">
      <alignment horizontal="center"/>
    </xf>
    <xf numFmtId="39" fontId="17" fillId="0" borderId="11" xfId="0" applyNumberFormat="1" applyFont="1" applyFill="1" applyBorder="1" applyAlignment="1">
      <alignment horizontal="center"/>
    </xf>
    <xf numFmtId="39" fontId="17" fillId="0" borderId="11" xfId="0" quotePrefix="1" applyNumberFormat="1" applyFont="1" applyFill="1" applyBorder="1" applyAlignment="1">
      <alignment horizontal="center"/>
    </xf>
    <xf numFmtId="0" fontId="48" fillId="0" borderId="3" xfId="0" applyFont="1" applyFill="1" applyBorder="1"/>
    <xf numFmtId="0" fontId="52" fillId="0" borderId="0" xfId="0" applyFont="1" applyFill="1" applyBorder="1" applyAlignment="1">
      <alignment horizontal="center"/>
    </xf>
    <xf numFmtId="39" fontId="48" fillId="0" borderId="0" xfId="0" applyNumberFormat="1" applyFont="1" applyFill="1" applyBorder="1"/>
    <xf numFmtId="0" fontId="48" fillId="0" borderId="4" xfId="0" applyFont="1" applyFill="1" applyBorder="1"/>
    <xf numFmtId="0" fontId="52" fillId="0" borderId="5" xfId="0" applyFont="1" applyFill="1" applyBorder="1" applyAlignment="1">
      <alignment horizontal="center"/>
    </xf>
    <xf numFmtId="0" fontId="48" fillId="0" borderId="3" xfId="0" applyFont="1" applyFill="1" applyBorder="1" applyAlignment="1">
      <alignment wrapText="1"/>
    </xf>
    <xf numFmtId="39" fontId="29" fillId="0" borderId="0" xfId="0" applyNumberFormat="1" applyFont="1" applyFill="1" applyBorder="1"/>
    <xf numFmtId="0" fontId="17" fillId="0" borderId="5" xfId="0" applyFont="1" applyFill="1" applyBorder="1" applyAlignment="1">
      <alignment horizontal="center"/>
    </xf>
    <xf numFmtId="39" fontId="52" fillId="0" borderId="0" xfId="0" applyNumberFormat="1" applyFont="1" applyFill="1" applyBorder="1"/>
    <xf numFmtId="0" fontId="17" fillId="0" borderId="0" xfId="0" quotePrefix="1" applyFont="1" applyFill="1" applyBorder="1" applyAlignment="1">
      <alignment horizontal="center"/>
    </xf>
    <xf numFmtId="0" fontId="36" fillId="0" borderId="3" xfId="0" applyFont="1" applyFill="1" applyBorder="1" applyAlignment="1">
      <alignment horizontal="center"/>
    </xf>
    <xf numFmtId="39" fontId="37" fillId="0" borderId="0" xfId="0" applyNumberFormat="1" applyFont="1" applyFill="1" applyBorder="1"/>
    <xf numFmtId="0" fontId="29" fillId="0" borderId="3" xfId="0" applyFont="1" applyFill="1" applyBorder="1" applyAlignment="1">
      <alignment horizontal="left"/>
    </xf>
    <xf numFmtId="0" fontId="33" fillId="0" borderId="4" xfId="0" applyFont="1" applyFill="1" applyBorder="1"/>
    <xf numFmtId="0" fontId="10" fillId="0" borderId="4" xfId="0" applyFont="1" applyFill="1" applyBorder="1"/>
    <xf numFmtId="0" fontId="0" fillId="0" borderId="4" xfId="0" applyFill="1" applyBorder="1"/>
    <xf numFmtId="39" fontId="10" fillId="0" borderId="0" xfId="0" applyNumberFormat="1" applyFont="1" applyFill="1" applyBorder="1"/>
    <xf numFmtId="0" fontId="19" fillId="0" borderId="4" xfId="0" applyFont="1" applyFill="1" applyBorder="1"/>
    <xf numFmtId="0" fontId="21" fillId="0" borderId="4" xfId="0" applyFont="1" applyFill="1" applyBorder="1"/>
    <xf numFmtId="0" fontId="28" fillId="0" borderId="5" xfId="0" applyFont="1" applyFill="1" applyBorder="1" applyAlignment="1">
      <alignment horizontal="center"/>
    </xf>
    <xf numFmtId="0" fontId="37" fillId="0" borderId="3" xfId="0" applyFont="1" applyFill="1" applyBorder="1"/>
    <xf numFmtId="0" fontId="17" fillId="0" borderId="0" xfId="0" applyFont="1" applyFill="1" applyAlignment="1">
      <alignment horizontal="center"/>
    </xf>
    <xf numFmtId="39" fontId="0" fillId="20" borderId="3" xfId="0" applyNumberFormat="1" applyFill="1" applyBorder="1"/>
    <xf numFmtId="39" fontId="0" fillId="20" borderId="6" xfId="0" applyNumberFormat="1" applyFill="1" applyBorder="1"/>
    <xf numFmtId="0" fontId="19" fillId="0" borderId="5" xfId="0" applyFont="1" applyBorder="1"/>
    <xf numFmtId="0" fontId="10" fillId="10" borderId="0" xfId="0" applyFont="1" applyFill="1"/>
    <xf numFmtId="39" fontId="0" fillId="5" borderId="17" xfId="0" applyNumberFormat="1" applyFill="1" applyBorder="1"/>
    <xf numFmtId="39" fontId="0" fillId="0" borderId="17" xfId="0" applyNumberFormat="1" applyFont="1" applyFill="1" applyBorder="1" applyAlignment="1">
      <alignment horizontal="center"/>
    </xf>
    <xf numFmtId="39" fontId="10" fillId="0" borderId="28" xfId="0" applyNumberFormat="1" applyFont="1" applyBorder="1" applyAlignment="1">
      <alignment horizontal="center"/>
    </xf>
    <xf numFmtId="39" fontId="0" fillId="0" borderId="17" xfId="0" applyNumberFormat="1" applyBorder="1"/>
    <xf numFmtId="39" fontId="0" fillId="6" borderId="17" xfId="0" applyNumberFormat="1" applyFill="1" applyBorder="1"/>
    <xf numFmtId="39" fontId="10" fillId="0" borderId="27" xfId="0" applyNumberFormat="1" applyFont="1" applyBorder="1" applyAlignment="1">
      <alignment horizontal="center"/>
    </xf>
    <xf numFmtId="167" fontId="0" fillId="0" borderId="5" xfId="0" quotePrefix="1" applyNumberFormat="1" applyFill="1" applyBorder="1" applyAlignment="1">
      <alignment horizontal="center"/>
    </xf>
    <xf numFmtId="43" fontId="17" fillId="0" borderId="0" xfId="1" applyFont="1" applyFill="1" applyBorder="1" applyAlignment="1">
      <alignment horizontal="center"/>
    </xf>
    <xf numFmtId="43" fontId="0" fillId="14" borderId="0" xfId="1" applyFont="1" applyFill="1"/>
    <xf numFmtId="43" fontId="0" fillId="20" borderId="0" xfId="1" applyFont="1" applyFill="1"/>
    <xf numFmtId="0" fontId="0" fillId="0" borderId="9" xfId="0" applyFill="1" applyBorder="1"/>
    <xf numFmtId="0" fontId="0" fillId="0" borderId="10" xfId="0" applyFill="1" applyBorder="1"/>
    <xf numFmtId="0" fontId="0" fillId="0" borderId="11" xfId="0" applyFill="1" applyBorder="1"/>
    <xf numFmtId="39" fontId="0" fillId="14" borderId="7" xfId="0" applyNumberFormat="1" applyFill="1" applyBorder="1"/>
    <xf numFmtId="0" fontId="52" fillId="0" borderId="3" xfId="0" applyFont="1" applyFill="1" applyBorder="1"/>
    <xf numFmtId="0" fontId="50" fillId="0" borderId="10" xfId="0" applyFont="1" applyBorder="1"/>
    <xf numFmtId="39" fontId="48" fillId="20" borderId="6" xfId="0" applyNumberFormat="1" applyFont="1" applyFill="1" applyBorder="1"/>
    <xf numFmtId="0" fontId="19" fillId="0" borderId="5" xfId="0" applyFont="1" applyFill="1" applyBorder="1"/>
    <xf numFmtId="4" fontId="0" fillId="0" borderId="0" xfId="0" applyNumberFormat="1" applyFill="1"/>
    <xf numFmtId="1" fontId="0" fillId="0" borderId="0" xfId="0" applyNumberFormat="1" applyFill="1"/>
    <xf numFmtId="7" fontId="0" fillId="0" borderId="0" xfId="0" applyNumberFormat="1" applyFill="1" applyAlignment="1">
      <alignment horizontal="right"/>
    </xf>
    <xf numFmtId="44" fontId="0" fillId="0" borderId="0" xfId="2" applyFont="1" applyFill="1"/>
    <xf numFmtId="3" fontId="10" fillId="0" borderId="0" xfId="0" applyNumberFormat="1" applyFont="1" applyAlignment="1">
      <alignment horizontal="center"/>
    </xf>
    <xf numFmtId="3" fontId="10" fillId="0" borderId="0" xfId="0" applyNumberFormat="1" applyFont="1" applyAlignment="1">
      <alignment horizontal="right"/>
    </xf>
    <xf numFmtId="43" fontId="18" fillId="0" borderId="0" xfId="1" applyFont="1" applyFill="1" applyAlignment="1">
      <alignment horizontal="center"/>
    </xf>
    <xf numFmtId="43" fontId="10" fillId="2" borderId="0" xfId="1" applyFont="1" applyFill="1" applyAlignment="1">
      <alignment horizontal="center"/>
    </xf>
    <xf numFmtId="169" fontId="11" fillId="0" borderId="0" xfId="1" applyNumberFormat="1" applyFont="1" applyAlignment="1">
      <alignment horizontal="center"/>
    </xf>
    <xf numFmtId="43" fontId="11" fillId="0" borderId="0" xfId="1" quotePrefix="1" applyFont="1" applyFill="1" applyAlignment="1">
      <alignment horizontal="center"/>
    </xf>
    <xf numFmtId="43" fontId="11" fillId="0" borderId="0" xfId="1" quotePrefix="1" applyFont="1" applyAlignment="1">
      <alignment horizontal="center"/>
    </xf>
    <xf numFmtId="170" fontId="11" fillId="0" borderId="0" xfId="1" applyNumberFormat="1" applyFont="1" applyAlignment="1">
      <alignment horizontal="center"/>
    </xf>
    <xf numFmtId="39" fontId="11" fillId="0" borderId="0" xfId="1" quotePrefix="1" applyNumberFormat="1" applyFont="1" applyAlignment="1">
      <alignment horizontal="center"/>
    </xf>
    <xf numFmtId="0" fontId="0" fillId="0" borderId="0" xfId="0" applyAlignment="1"/>
    <xf numFmtId="167" fontId="19" fillId="15" borderId="0" xfId="1" applyNumberFormat="1" applyFont="1" applyFill="1"/>
    <xf numFmtId="167" fontId="19" fillId="16" borderId="0" xfId="1" applyNumberFormat="1" applyFont="1" applyFill="1"/>
    <xf numFmtId="167" fontId="19" fillId="2" borderId="0" xfId="1" applyNumberFormat="1" applyFont="1" applyFill="1"/>
    <xf numFmtId="167" fontId="19" fillId="0" borderId="0" xfId="1" applyNumberFormat="1" applyFont="1"/>
    <xf numFmtId="167" fontId="19" fillId="11" borderId="0" xfId="1" applyNumberFormat="1" applyFont="1" applyFill="1"/>
    <xf numFmtId="167" fontId="10" fillId="15" borderId="0" xfId="1" applyNumberFormat="1" applyFont="1" applyFill="1"/>
    <xf numFmtId="167" fontId="19" fillId="0" borderId="0" xfId="1" applyNumberFormat="1" applyFont="1" applyFill="1"/>
    <xf numFmtId="167" fontId="30" fillId="0" borderId="0" xfId="1" applyNumberFormat="1" applyFont="1" applyFill="1"/>
    <xf numFmtId="167" fontId="0" fillId="0" borderId="0" xfId="1" applyNumberFormat="1" applyFont="1"/>
    <xf numFmtId="167" fontId="19" fillId="10" borderId="0" xfId="1" applyNumberFormat="1" applyFont="1" applyFill="1"/>
    <xf numFmtId="167" fontId="19" fillId="13" borderId="0" xfId="1" applyNumberFormat="1" applyFont="1" applyFill="1"/>
    <xf numFmtId="167" fontId="26" fillId="13" borderId="0" xfId="0" applyNumberFormat="1" applyFont="1" applyFill="1"/>
    <xf numFmtId="167" fontId="19" fillId="9" borderId="0" xfId="1" applyNumberFormat="1" applyFont="1" applyFill="1"/>
    <xf numFmtId="0" fontId="0" fillId="0" borderId="0" xfId="0" applyAlignment="1"/>
    <xf numFmtId="39" fontId="0" fillId="20" borderId="23" xfId="0" applyNumberFormat="1" applyFill="1" applyBorder="1"/>
    <xf numFmtId="39" fontId="21" fillId="20" borderId="23" xfId="0" applyNumberFormat="1" applyFont="1" applyFill="1" applyBorder="1"/>
    <xf numFmtId="39" fontId="21" fillId="21" borderId="23" xfId="0" applyNumberFormat="1" applyFont="1" applyFill="1" applyBorder="1"/>
    <xf numFmtId="39" fontId="21" fillId="22" borderId="23" xfId="0" applyNumberFormat="1" applyFont="1" applyFill="1" applyBorder="1"/>
    <xf numFmtId="39" fontId="48" fillId="6" borderId="6" xfId="0" applyNumberFormat="1" applyFont="1" applyFill="1" applyBorder="1" applyAlignment="1">
      <alignment wrapText="1"/>
    </xf>
    <xf numFmtId="0" fontId="21" fillId="0" borderId="5" xfId="0" applyFont="1" applyBorder="1" applyAlignment="1">
      <alignment horizontal="center"/>
    </xf>
    <xf numFmtId="0" fontId="15" fillId="0" borderId="0" xfId="0" applyFont="1" applyAlignment="1">
      <alignment horizontal="left"/>
    </xf>
    <xf numFmtId="0" fontId="21" fillId="0" borderId="0" xfId="0" applyFont="1" applyAlignment="1">
      <alignment horizontal="left"/>
    </xf>
    <xf numFmtId="0" fontId="0" fillId="0" borderId="0" xfId="0" applyFont="1" applyFill="1"/>
    <xf numFmtId="0" fontId="10" fillId="0" borderId="0" xfId="0" applyFont="1" applyAlignment="1">
      <alignment horizontal="left" indent="1"/>
    </xf>
    <xf numFmtId="0" fontId="0" fillId="0" borderId="0" xfId="0" applyFont="1"/>
    <xf numFmtId="0" fontId="18" fillId="0" borderId="0" xfId="0" applyFont="1" applyAlignment="1">
      <alignment horizontal="left" indent="1"/>
    </xf>
    <xf numFmtId="14" fontId="21" fillId="0" borderId="0" xfId="0" applyNumberFormat="1" applyFont="1" applyAlignment="1">
      <alignment horizontal="left"/>
    </xf>
    <xf numFmtId="164" fontId="19" fillId="0" borderId="2" xfId="1" applyNumberFormat="1" applyFont="1" applyBorder="1"/>
    <xf numFmtId="164" fontId="19" fillId="0" borderId="0" xfId="1" applyNumberFormat="1" applyFont="1" applyBorder="1" applyAlignment="1">
      <alignment horizontal="center"/>
    </xf>
    <xf numFmtId="164" fontId="0" fillId="0" borderId="2" xfId="1" applyNumberFormat="1" applyFont="1" applyBorder="1"/>
    <xf numFmtId="0" fontId="10" fillId="0" borderId="0" xfId="0" quotePrefix="1" applyFont="1"/>
    <xf numFmtId="0" fontId="10" fillId="0" borderId="0" xfId="0" applyFont="1" applyAlignment="1">
      <alignment wrapText="1"/>
    </xf>
    <xf numFmtId="0" fontId="0" fillId="0" borderId="0" xfId="0" applyAlignment="1">
      <alignment vertical="center"/>
    </xf>
    <xf numFmtId="0" fontId="28" fillId="0" borderId="0" xfId="0" applyFont="1" applyFill="1" applyBorder="1" applyAlignment="1">
      <alignment horizontal="center"/>
    </xf>
    <xf numFmtId="43" fontId="28" fillId="0" borderId="0" xfId="1" applyFont="1" applyFill="1" applyBorder="1" applyAlignment="1">
      <alignment horizontal="center"/>
    </xf>
    <xf numFmtId="170" fontId="28" fillId="0" borderId="0" xfId="1" quotePrefix="1" applyNumberFormat="1" applyFont="1" applyFill="1" applyBorder="1" applyAlignment="1">
      <alignment horizontal="center"/>
    </xf>
    <xf numFmtId="170" fontId="28" fillId="0" borderId="0" xfId="1" applyNumberFormat="1" applyFont="1" applyFill="1" applyBorder="1" applyAlignment="1">
      <alignment horizontal="center"/>
    </xf>
    <xf numFmtId="170" fontId="17" fillId="0" borderId="0" xfId="1" quotePrefix="1" applyNumberFormat="1" applyFont="1" applyFill="1" applyBorder="1" applyAlignment="1">
      <alignment horizontal="center"/>
    </xf>
    <xf numFmtId="39" fontId="28" fillId="0" borderId="0" xfId="0" applyNumberFormat="1" applyFont="1" applyFill="1" applyBorder="1" applyAlignment="1">
      <alignment horizontal="center"/>
    </xf>
    <xf numFmtId="43" fontId="21" fillId="0" borderId="0" xfId="0" applyNumberFormat="1" applyFont="1" applyAlignment="1">
      <alignment horizontal="left"/>
    </xf>
    <xf numFmtId="43" fontId="0" fillId="0" borderId="2" xfId="1" applyNumberFormat="1" applyFont="1" applyBorder="1" applyAlignment="1">
      <alignment horizontal="center"/>
    </xf>
    <xf numFmtId="43" fontId="0" fillId="0" borderId="0" xfId="1" applyNumberFormat="1" applyFont="1" applyAlignment="1">
      <alignment horizontal="center"/>
    </xf>
    <xf numFmtId="43" fontId="0" fillId="0" borderId="5" xfId="1" applyNumberFormat="1" applyFont="1" applyBorder="1" applyAlignment="1">
      <alignment horizontal="center"/>
    </xf>
    <xf numFmtId="43" fontId="0" fillId="0" borderId="0" xfId="1" applyNumberFormat="1" applyFont="1"/>
    <xf numFmtId="43" fontId="0" fillId="2" borderId="0" xfId="1" applyNumberFormat="1" applyFont="1" applyFill="1"/>
    <xf numFmtId="43" fontId="0" fillId="6" borderId="0" xfId="1" applyNumberFormat="1" applyFont="1" applyFill="1"/>
    <xf numFmtId="0" fontId="10" fillId="13" borderId="3" xfId="0" applyFont="1" applyFill="1" applyBorder="1"/>
    <xf numFmtId="0" fontId="0" fillId="13" borderId="0" xfId="0" applyFill="1"/>
    <xf numFmtId="0" fontId="10" fillId="13" borderId="0" xfId="0" applyFont="1" applyFill="1" applyBorder="1" applyAlignment="1">
      <alignment horizontal="center"/>
    </xf>
    <xf numFmtId="0" fontId="48" fillId="0" borderId="10" xfId="0" applyFont="1" applyBorder="1" applyAlignment="1">
      <alignment vertical="center"/>
    </xf>
    <xf numFmtId="39" fontId="48" fillId="6" borderId="0" xfId="0" applyNumberFormat="1" applyFont="1" applyFill="1" applyBorder="1" applyAlignment="1">
      <alignment vertical="center"/>
    </xf>
    <xf numFmtId="39" fontId="48" fillId="6" borderId="6" xfId="0" applyNumberFormat="1" applyFont="1" applyFill="1" applyBorder="1" applyAlignment="1">
      <alignment vertical="center"/>
    </xf>
    <xf numFmtId="164" fontId="10" fillId="0" borderId="0" xfId="1" applyNumberFormat="1" applyFont="1" applyBorder="1" applyAlignment="1">
      <alignment horizontal="center"/>
    </xf>
    <xf numFmtId="44" fontId="0" fillId="0" borderId="0" xfId="2" applyNumberFormat="1" applyFont="1"/>
    <xf numFmtId="175" fontId="10" fillId="0" borderId="5" xfId="0" quotePrefix="1" applyNumberFormat="1" applyFont="1" applyBorder="1" applyAlignment="1">
      <alignment horizontal="center"/>
    </xf>
    <xf numFmtId="0" fontId="21" fillId="0" borderId="0" xfId="0" applyFont="1" applyAlignment="1">
      <alignment horizontal="left"/>
    </xf>
    <xf numFmtId="7" fontId="48" fillId="0" borderId="0" xfId="1" applyNumberFormat="1" applyFont="1" applyFill="1" applyAlignment="1">
      <alignment horizontal="right"/>
    </xf>
    <xf numFmtId="164" fontId="0" fillId="0" borderId="8" xfId="1" applyNumberFormat="1" applyFont="1" applyBorder="1" applyAlignment="1">
      <alignment horizontal="center"/>
    </xf>
    <xf numFmtId="44" fontId="0" fillId="0" borderId="6" xfId="1" applyNumberFormat="1" applyFont="1" applyBorder="1" applyAlignment="1">
      <alignment horizontal="center"/>
    </xf>
    <xf numFmtId="44" fontId="0" fillId="0" borderId="7" xfId="1" applyNumberFormat="1" applyFont="1" applyBorder="1" applyAlignment="1">
      <alignment horizontal="center"/>
    </xf>
    <xf numFmtId="0" fontId="0" fillId="0" borderId="0" xfId="0" applyBorder="1" applyAlignment="1">
      <alignment vertical="center" wrapText="1"/>
    </xf>
    <xf numFmtId="43" fontId="0" fillId="0" borderId="8" xfId="1" applyFont="1" applyBorder="1"/>
    <xf numFmtId="164" fontId="0" fillId="0" borderId="0" xfId="1" applyNumberFormat="1" applyFont="1" applyBorder="1" applyAlignment="1">
      <alignment horizontal="center"/>
    </xf>
    <xf numFmtId="0" fontId="0" fillId="0" borderId="4" xfId="0" applyBorder="1" applyAlignment="1">
      <alignment horizontal="center"/>
    </xf>
    <xf numFmtId="167" fontId="19" fillId="24" borderId="0" xfId="1" applyNumberFormat="1" applyFont="1" applyFill="1"/>
    <xf numFmtId="0" fontId="10" fillId="24" borderId="0" xfId="0" applyFont="1" applyFill="1"/>
    <xf numFmtId="0" fontId="10" fillId="9" borderId="0" xfId="0" applyFont="1" applyFill="1"/>
    <xf numFmtId="0" fontId="10" fillId="0" borderId="0" xfId="0" applyFont="1" applyAlignment="1">
      <alignment horizontal="left"/>
    </xf>
    <xf numFmtId="43" fontId="48" fillId="24" borderId="0" xfId="1" applyFont="1" applyFill="1"/>
    <xf numFmtId="0" fontId="52" fillId="0" borderId="0" xfId="0" applyFont="1" applyFill="1" applyBorder="1" applyAlignment="1">
      <alignment horizontal="center" vertical="center"/>
    </xf>
    <xf numFmtId="39" fontId="48" fillId="0" borderId="0" xfId="0" applyNumberFormat="1" applyFont="1" applyFill="1" applyBorder="1" applyAlignment="1">
      <alignment vertical="center"/>
    </xf>
    <xf numFmtId="0" fontId="52" fillId="0" borderId="0" xfId="0" applyFont="1" applyFill="1" applyAlignment="1">
      <alignment horizontal="center"/>
    </xf>
    <xf numFmtId="0" fontId="52" fillId="0" borderId="0" xfId="0" quotePrefix="1" applyFont="1" applyFill="1" applyBorder="1" applyAlignment="1">
      <alignment horizontal="center"/>
    </xf>
    <xf numFmtId="0" fontId="48" fillId="0" borderId="3" xfId="0" applyFont="1" applyFill="1" applyBorder="1" applyAlignment="1">
      <alignment horizontal="left" wrapText="1"/>
    </xf>
    <xf numFmtId="39" fontId="48" fillId="0" borderId="0" xfId="0" applyNumberFormat="1" applyFont="1" applyFill="1" applyAlignment="1">
      <alignment vertical="center"/>
    </xf>
    <xf numFmtId="0" fontId="10" fillId="0" borderId="1" xfId="0" applyFont="1" applyFill="1" applyBorder="1"/>
    <xf numFmtId="0" fontId="10" fillId="0" borderId="8" xfId="0" applyFont="1" applyFill="1" applyBorder="1" applyAlignment="1">
      <alignment horizontal="center"/>
    </xf>
    <xf numFmtId="0" fontId="19" fillId="0" borderId="6" xfId="0" applyFont="1" applyFill="1" applyBorder="1" applyAlignment="1">
      <alignment horizontal="center"/>
    </xf>
    <xf numFmtId="0" fontId="19" fillId="0" borderId="7" xfId="0" applyFont="1" applyFill="1" applyBorder="1" applyAlignment="1">
      <alignment horizontal="center"/>
    </xf>
    <xf numFmtId="39" fontId="10" fillId="6" borderId="7" xfId="0" applyNumberFormat="1" applyFont="1" applyFill="1" applyBorder="1"/>
    <xf numFmtId="0" fontId="48" fillId="0" borderId="3" xfId="0" applyFont="1" applyFill="1" applyBorder="1" applyAlignment="1">
      <alignment horizontal="left"/>
    </xf>
    <xf numFmtId="0" fontId="10" fillId="0" borderId="0" xfId="0" applyFont="1" applyFill="1" applyBorder="1"/>
    <xf numFmtId="0" fontId="0" fillId="0" borderId="0" xfId="0" applyBorder="1" applyAlignment="1">
      <alignment horizontal="center"/>
    </xf>
    <xf numFmtId="39" fontId="0" fillId="0" borderId="5" xfId="1" applyNumberFormat="1" applyFont="1" applyBorder="1"/>
    <xf numFmtId="0" fontId="0" fillId="0" borderId="3" xfId="0" applyBorder="1" applyAlignment="1">
      <alignment horizontal="left"/>
    </xf>
    <xf numFmtId="43" fontId="11" fillId="0" borderId="8" xfId="1" applyFont="1" applyBorder="1"/>
    <xf numFmtId="167" fontId="0" fillId="0" borderId="20" xfId="0" applyNumberFormat="1" applyBorder="1"/>
    <xf numFmtId="3" fontId="0" fillId="0" borderId="0" xfId="0" applyNumberFormat="1" applyFill="1"/>
    <xf numFmtId="3" fontId="0" fillId="0" borderId="0" xfId="0" applyNumberFormat="1" applyFill="1" applyAlignment="1">
      <alignment horizontal="center"/>
    </xf>
    <xf numFmtId="0" fontId="19" fillId="25" borderId="0" xfId="0" applyFont="1" applyFill="1"/>
    <xf numFmtId="167" fontId="19" fillId="25" borderId="0" xfId="1" applyNumberFormat="1" applyFont="1" applyFill="1"/>
    <xf numFmtId="0" fontId="0" fillId="25" borderId="0" xfId="0" applyFill="1"/>
    <xf numFmtId="0" fontId="10" fillId="0" borderId="3" xfId="0" applyFont="1" applyFill="1" applyBorder="1" applyAlignment="1">
      <alignment vertical="center" wrapText="1"/>
    </xf>
    <xf numFmtId="43" fontId="48" fillId="0" borderId="0" xfId="1" applyNumberFormat="1" applyFont="1" applyFill="1"/>
    <xf numFmtId="7" fontId="21" fillId="0" borderId="0" xfId="0" applyNumberFormat="1" applyFont="1" applyFill="1"/>
    <xf numFmtId="0" fontId="0" fillId="21" borderId="0" xfId="0" applyFill="1" applyAlignment="1">
      <alignment horizontal="center"/>
    </xf>
    <xf numFmtId="7" fontId="0" fillId="21" borderId="0" xfId="0" applyNumberFormat="1" applyFill="1" applyAlignment="1">
      <alignment horizontal="right"/>
    </xf>
    <xf numFmtId="7" fontId="0" fillId="20" borderId="0" xfId="0" applyNumberFormat="1" applyFill="1" applyAlignment="1">
      <alignment horizontal="right"/>
    </xf>
    <xf numFmtId="167" fontId="0" fillId="0" borderId="0" xfId="2" applyNumberFormat="1" applyFont="1"/>
    <xf numFmtId="167" fontId="0" fillId="5" borderId="0" xfId="2" applyNumberFormat="1" applyFont="1" applyFill="1"/>
    <xf numFmtId="167" fontId="0" fillId="0" borderId="0" xfId="2" applyNumberFormat="1" applyFont="1" applyAlignment="1">
      <alignment horizontal="right"/>
    </xf>
    <xf numFmtId="167" fontId="0" fillId="3" borderId="0" xfId="2" applyNumberFormat="1" applyFont="1" applyFill="1"/>
    <xf numFmtId="167" fontId="0" fillId="2" borderId="0" xfId="1" applyNumberFormat="1" applyFont="1" applyFill="1"/>
    <xf numFmtId="167" fontId="0" fillId="0" borderId="0" xfId="1" applyNumberFormat="1" applyFont="1" applyAlignment="1">
      <alignment vertical="center"/>
    </xf>
    <xf numFmtId="167" fontId="10" fillId="0" borderId="0" xfId="1" applyNumberFormat="1" applyFont="1" applyFill="1"/>
    <xf numFmtId="167" fontId="0" fillId="3" borderId="0" xfId="1" applyNumberFormat="1" applyFont="1" applyFill="1"/>
    <xf numFmtId="167" fontId="0" fillId="0" borderId="0" xfId="1" applyNumberFormat="1" applyFont="1" applyFill="1"/>
    <xf numFmtId="167" fontId="24" fillId="0" borderId="0" xfId="1" applyNumberFormat="1" applyFont="1" applyFill="1"/>
    <xf numFmtId="167" fontId="0" fillId="4" borderId="0" xfId="1" applyNumberFormat="1" applyFont="1" applyFill="1"/>
    <xf numFmtId="167" fontId="0" fillId="0" borderId="0" xfId="0" applyNumberFormat="1" applyAlignment="1">
      <alignment horizontal="center"/>
    </xf>
    <xf numFmtId="167" fontId="21" fillId="0" borderId="0" xfId="0" applyNumberFormat="1" applyFont="1" applyAlignment="1">
      <alignment horizontal="left"/>
    </xf>
    <xf numFmtId="167" fontId="21" fillId="0" borderId="2" xfId="0" applyNumberFormat="1" applyFon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xf>
    <xf numFmtId="167" fontId="0" fillId="0" borderId="5" xfId="0" applyNumberFormat="1" applyBorder="1" applyAlignment="1">
      <alignment horizontal="center"/>
    </xf>
    <xf numFmtId="167" fontId="0" fillId="5" borderId="0" xfId="0" applyNumberFormat="1" applyFill="1"/>
    <xf numFmtId="167" fontId="0" fillId="6" borderId="0" xfId="0" applyNumberFormat="1" applyFill="1"/>
    <xf numFmtId="167" fontId="0" fillId="0" borderId="0" xfId="0" applyNumberFormat="1" applyAlignment="1">
      <alignment horizontal="right"/>
    </xf>
    <xf numFmtId="167" fontId="0" fillId="4" borderId="0" xfId="0" applyNumberFormat="1" applyFill="1"/>
    <xf numFmtId="167" fontId="0" fillId="0" borderId="0" xfId="0" applyNumberFormat="1" applyFill="1"/>
    <xf numFmtId="167" fontId="0" fillId="0" borderId="13" xfId="0" applyNumberFormat="1" applyBorder="1"/>
    <xf numFmtId="167" fontId="0" fillId="0" borderId="16" xfId="0" applyNumberFormat="1" applyBorder="1"/>
    <xf numFmtId="167" fontId="0" fillId="0" borderId="18" xfId="0" applyNumberFormat="1" applyBorder="1"/>
    <xf numFmtId="167" fontId="0" fillId="0" borderId="15" xfId="0" applyNumberFormat="1" applyBorder="1"/>
    <xf numFmtId="167" fontId="0" fillId="0" borderId="5" xfId="0" applyNumberFormat="1" applyBorder="1"/>
    <xf numFmtId="167" fontId="0" fillId="2" borderId="9" xfId="0" applyNumberFormat="1" applyFill="1" applyBorder="1" applyAlignment="1">
      <alignment horizontal="center"/>
    </xf>
    <xf numFmtId="167" fontId="0" fillId="0" borderId="9" xfId="0" applyNumberFormat="1" applyBorder="1" applyAlignment="1">
      <alignment horizontal="center"/>
    </xf>
    <xf numFmtId="167" fontId="0" fillId="6" borderId="9" xfId="0" applyNumberFormat="1" applyFill="1" applyBorder="1" applyAlignment="1">
      <alignment horizontal="center"/>
    </xf>
    <xf numFmtId="167" fontId="0" fillId="2" borderId="10" xfId="0" applyNumberFormat="1" applyFill="1" applyBorder="1" applyAlignment="1">
      <alignment horizontal="center"/>
    </xf>
    <xf numFmtId="167" fontId="0" fillId="0" borderId="10" xfId="0" applyNumberFormat="1" applyBorder="1" applyAlignment="1">
      <alignment horizontal="center"/>
    </xf>
    <xf numFmtId="167" fontId="0" fillId="6" borderId="10" xfId="0" applyNumberFormat="1" applyFill="1" applyBorder="1" applyAlignment="1">
      <alignment horizontal="center"/>
    </xf>
    <xf numFmtId="167" fontId="0" fillId="14" borderId="11" xfId="0" applyNumberFormat="1" applyFill="1" applyBorder="1" applyAlignment="1">
      <alignment horizontal="center"/>
    </xf>
    <xf numFmtId="167" fontId="0" fillId="0" borderId="11" xfId="0" applyNumberFormat="1" applyBorder="1" applyAlignment="1">
      <alignment horizontal="center"/>
    </xf>
    <xf numFmtId="167" fontId="0" fillId="6" borderId="11" xfId="0" applyNumberFormat="1" applyFill="1" applyBorder="1" applyAlignment="1">
      <alignment horizontal="center"/>
    </xf>
    <xf numFmtId="167" fontId="0" fillId="14" borderId="0" xfId="0" applyNumberFormat="1" applyFill="1" applyBorder="1"/>
    <xf numFmtId="167" fontId="0" fillId="0" borderId="10" xfId="0" applyNumberFormat="1" applyBorder="1"/>
    <xf numFmtId="167" fontId="0" fillId="6" borderId="0" xfId="0" applyNumberFormat="1" applyFill="1" applyBorder="1"/>
    <xf numFmtId="167" fontId="10" fillId="14" borderId="0" xfId="0" applyNumberFormat="1" applyFont="1" applyFill="1" applyBorder="1"/>
    <xf numFmtId="167" fontId="0" fillId="14" borderId="5" xfId="0" applyNumberFormat="1" applyFill="1" applyBorder="1"/>
    <xf numFmtId="167" fontId="0" fillId="0" borderId="11" xfId="0" applyNumberFormat="1" applyBorder="1"/>
    <xf numFmtId="167" fontId="0" fillId="6" borderId="5" xfId="0" applyNumberFormat="1" applyFill="1" applyBorder="1"/>
    <xf numFmtId="167" fontId="0" fillId="2" borderId="0" xfId="0" applyNumberFormat="1" applyFill="1" applyBorder="1"/>
    <xf numFmtId="167" fontId="0" fillId="0" borderId="0" xfId="0" applyNumberFormat="1" applyBorder="1"/>
    <xf numFmtId="167" fontId="0" fillId="2" borderId="11" xfId="0" applyNumberFormat="1" applyFill="1" applyBorder="1" applyAlignment="1">
      <alignment horizontal="center"/>
    </xf>
    <xf numFmtId="167" fontId="10" fillId="2" borderId="9" xfId="0" applyNumberFormat="1" applyFont="1" applyFill="1" applyBorder="1"/>
    <xf numFmtId="167" fontId="10" fillId="0" borderId="10" xfId="0" applyNumberFormat="1" applyFont="1" applyBorder="1"/>
    <xf numFmtId="167" fontId="10" fillId="6" borderId="0" xfId="0" applyNumberFormat="1" applyFont="1" applyFill="1" applyBorder="1"/>
    <xf numFmtId="167" fontId="10" fillId="2" borderId="10" xfId="0" applyNumberFormat="1" applyFont="1" applyFill="1" applyBorder="1"/>
    <xf numFmtId="167" fontId="10" fillId="2" borderId="11" xfId="0" applyNumberFormat="1" applyFont="1" applyFill="1" applyBorder="1"/>
    <xf numFmtId="167" fontId="10" fillId="0" borderId="11" xfId="0" applyNumberFormat="1" applyFont="1" applyBorder="1"/>
    <xf numFmtId="167" fontId="10" fillId="6" borderId="5" xfId="0" applyNumberFormat="1" applyFont="1" applyFill="1" applyBorder="1"/>
    <xf numFmtId="39" fontId="21" fillId="0" borderId="0" xfId="0" applyNumberFormat="1" applyFont="1" applyAlignment="1">
      <alignment horizontal="left"/>
    </xf>
    <xf numFmtId="167" fontId="19" fillId="0" borderId="0" xfId="0" applyNumberFormat="1" applyFont="1" applyFill="1" applyBorder="1"/>
    <xf numFmtId="167" fontId="19" fillId="0" borderId="10" xfId="0" applyNumberFormat="1" applyFont="1" applyBorder="1"/>
    <xf numFmtId="167" fontId="19" fillId="6" borderId="0" xfId="0" applyNumberFormat="1" applyFont="1" applyFill="1" applyBorder="1"/>
    <xf numFmtId="167" fontId="0" fillId="0" borderId="7" xfId="0" applyNumberFormat="1" applyFill="1" applyBorder="1"/>
    <xf numFmtId="167" fontId="21" fillId="0" borderId="0" xfId="0" applyNumberFormat="1" applyFont="1" applyFill="1" applyBorder="1"/>
    <xf numFmtId="167" fontId="21" fillId="6" borderId="0" xfId="0" applyNumberFormat="1" applyFont="1" applyFill="1" applyBorder="1"/>
    <xf numFmtId="167" fontId="19" fillId="0" borderId="0" xfId="0" applyNumberFormat="1" applyFont="1" applyBorder="1"/>
    <xf numFmtId="167" fontId="21" fillId="0" borderId="0" xfId="0" applyNumberFormat="1" applyFont="1" applyBorder="1"/>
    <xf numFmtId="167" fontId="0" fillId="0" borderId="8" xfId="1" applyNumberFormat="1" applyFont="1" applyBorder="1" applyAlignment="1">
      <alignment horizontal="center"/>
    </xf>
    <xf numFmtId="167" fontId="0" fillId="0" borderId="6" xfId="1" applyNumberFormat="1" applyFont="1" applyBorder="1" applyAlignment="1">
      <alignment horizontal="center"/>
    </xf>
    <xf numFmtId="167" fontId="0" fillId="0" borderId="7" xfId="1" applyNumberFormat="1" applyFont="1" applyBorder="1" applyAlignment="1">
      <alignment horizontal="center"/>
    </xf>
    <xf numFmtId="167" fontId="0" fillId="6" borderId="0" xfId="1" applyNumberFormat="1" applyFont="1" applyFill="1"/>
    <xf numFmtId="167" fontId="21" fillId="0" borderId="0" xfId="0" quotePrefix="1" applyNumberFormat="1" applyFont="1" applyBorder="1" applyAlignment="1">
      <alignment horizontal="left"/>
    </xf>
    <xf numFmtId="167" fontId="0" fillId="0" borderId="2" xfId="0" applyNumberFormat="1" applyBorder="1"/>
    <xf numFmtId="167" fontId="0" fillId="0" borderId="0" xfId="0" applyNumberFormat="1" applyFill="1" applyBorder="1" applyAlignment="1">
      <alignment horizontal="center"/>
    </xf>
    <xf numFmtId="167" fontId="19" fillId="0" borderId="0" xfId="0" applyNumberFormat="1" applyFont="1" applyFill="1"/>
    <xf numFmtId="167" fontId="19" fillId="0" borderId="0" xfId="0" applyNumberFormat="1" applyFont="1"/>
    <xf numFmtId="167" fontId="0" fillId="3" borderId="0" xfId="0" applyNumberFormat="1" applyFill="1"/>
    <xf numFmtId="167" fontId="0" fillId="0" borderId="0" xfId="0" applyNumberFormat="1" applyAlignment="1">
      <alignment horizontal="left"/>
    </xf>
    <xf numFmtId="167" fontId="0" fillId="0" borderId="12" xfId="0" applyNumberFormat="1" applyBorder="1" applyAlignment="1">
      <alignment horizontal="left"/>
    </xf>
    <xf numFmtId="167" fontId="0" fillId="0" borderId="12" xfId="0" applyNumberFormat="1" applyBorder="1" applyAlignment="1">
      <alignment horizontal="center"/>
    </xf>
    <xf numFmtId="167" fontId="0" fillId="2" borderId="0" xfId="0" applyNumberFormat="1" applyFill="1"/>
    <xf numFmtId="167" fontId="0" fillId="14" borderId="0" xfId="0" applyNumberFormat="1" applyFill="1"/>
    <xf numFmtId="0" fontId="48" fillId="0" borderId="10" xfId="0" applyFont="1" applyFill="1" applyBorder="1"/>
    <xf numFmtId="39" fontId="48" fillId="20" borderId="0" xfId="0" applyNumberFormat="1" applyFont="1" applyFill="1" applyBorder="1"/>
    <xf numFmtId="39" fontId="0" fillId="20" borderId="0" xfId="0" applyNumberFormat="1" applyFill="1" applyBorder="1"/>
    <xf numFmtId="9" fontId="0" fillId="0" borderId="0" xfId="0" applyNumberFormat="1" applyBorder="1" applyAlignment="1">
      <alignment horizontal="left"/>
    </xf>
    <xf numFmtId="167" fontId="0" fillId="0" borderId="0" xfId="0" applyNumberFormat="1" applyFill="1" applyAlignment="1">
      <alignment horizontal="right"/>
    </xf>
    <xf numFmtId="43" fontId="10" fillId="0" borderId="0" xfId="1" applyFont="1" applyBorder="1" applyAlignment="1">
      <alignment horizontal="right"/>
    </xf>
    <xf numFmtId="0" fontId="48" fillId="0" borderId="3" xfId="0" applyFont="1" applyFill="1" applyBorder="1" applyAlignment="1">
      <alignment horizontal="left" indent="1"/>
    </xf>
    <xf numFmtId="8" fontId="0" fillId="0" borderId="0" xfId="0" applyNumberFormat="1"/>
    <xf numFmtId="0" fontId="15" fillId="0" borderId="0" xfId="0" applyFont="1" applyAlignment="1">
      <alignment horizontal="left"/>
    </xf>
    <xf numFmtId="165" fontId="21" fillId="0" borderId="0" xfId="0" applyNumberFormat="1" applyFont="1" applyAlignment="1">
      <alignment horizontal="left"/>
    </xf>
    <xf numFmtId="165" fontId="21" fillId="0" borderId="0" xfId="0" quotePrefix="1" applyNumberFormat="1" applyFont="1" applyAlignment="1">
      <alignment horizontal="left"/>
    </xf>
    <xf numFmtId="165" fontId="0" fillId="26" borderId="5" xfId="0" quotePrefix="1" applyNumberFormat="1" applyFill="1" applyBorder="1" applyAlignment="1">
      <alignment horizontal="center"/>
    </xf>
    <xf numFmtId="167" fontId="0" fillId="26" borderId="5" xfId="0" quotePrefix="1" applyNumberFormat="1" applyFill="1" applyBorder="1" applyAlignment="1">
      <alignment horizontal="center"/>
    </xf>
    <xf numFmtId="43" fontId="48" fillId="26" borderId="0" xfId="1" applyFont="1" applyFill="1"/>
    <xf numFmtId="43" fontId="48" fillId="26" borderId="0" xfId="1" applyFont="1" applyFill="1" applyAlignment="1">
      <alignment horizontal="right"/>
    </xf>
    <xf numFmtId="0" fontId="56" fillId="0" borderId="0" xfId="0" applyFont="1" applyAlignment="1">
      <alignment horizontal="center"/>
    </xf>
    <xf numFmtId="0" fontId="56" fillId="0" borderId="0" xfId="0" applyFont="1"/>
    <xf numFmtId="0" fontId="56" fillId="27" borderId="29" xfId="0" applyFont="1" applyFill="1" applyBorder="1" applyAlignment="1">
      <alignment horizontal="center"/>
    </xf>
    <xf numFmtId="167" fontId="56" fillId="27" borderId="29" xfId="0" applyNumberFormat="1" applyFont="1" applyFill="1" applyBorder="1" applyAlignment="1">
      <alignment horizontal="center"/>
    </xf>
    <xf numFmtId="0" fontId="56" fillId="28" borderId="29" xfId="0" applyFont="1" applyFill="1" applyBorder="1" applyAlignment="1">
      <alignment horizontal="center"/>
    </xf>
    <xf numFmtId="0" fontId="0" fillId="27" borderId="29" xfId="0" applyFill="1" applyBorder="1"/>
    <xf numFmtId="167" fontId="0" fillId="27" borderId="29" xfId="0" applyNumberFormat="1" applyFill="1" applyBorder="1"/>
    <xf numFmtId="14" fontId="0" fillId="27" borderId="29" xfId="0" applyNumberFormat="1" applyFill="1" applyBorder="1" applyAlignment="1">
      <alignment horizontal="center"/>
    </xf>
    <xf numFmtId="0" fontId="21" fillId="28" borderId="29" xfId="0" applyFont="1" applyFill="1" applyBorder="1" applyAlignment="1">
      <alignment horizontal="center"/>
    </xf>
    <xf numFmtId="167" fontId="21" fillId="28" borderId="29" xfId="0" applyNumberFormat="1" applyFont="1" applyFill="1" applyBorder="1" applyAlignment="1">
      <alignment horizontal="center"/>
    </xf>
    <xf numFmtId="0" fontId="0" fillId="0" borderId="29" xfId="0" applyBorder="1" applyAlignment="1">
      <alignment horizontal="center"/>
    </xf>
    <xf numFmtId="0" fontId="0" fillId="0" borderId="29" xfId="0" applyBorder="1"/>
    <xf numFmtId="167" fontId="0" fillId="0" borderId="29" xfId="0" applyNumberFormat="1" applyBorder="1"/>
    <xf numFmtId="0" fontId="56" fillId="29" borderId="29" xfId="0" applyFont="1" applyFill="1" applyBorder="1" applyAlignment="1">
      <alignment horizontal="center"/>
    </xf>
    <xf numFmtId="167" fontId="56" fillId="29" borderId="29" xfId="0" applyNumberFormat="1" applyFont="1" applyFill="1" applyBorder="1" applyAlignment="1">
      <alignment horizontal="center"/>
    </xf>
    <xf numFmtId="176" fontId="56" fillId="29" borderId="29" xfId="0" applyNumberFormat="1" applyFont="1" applyFill="1" applyBorder="1" applyAlignment="1">
      <alignment horizontal="center"/>
    </xf>
    <xf numFmtId="167" fontId="21" fillId="28" borderId="29" xfId="0" applyNumberFormat="1" applyFont="1" applyFill="1" applyBorder="1"/>
    <xf numFmtId="167" fontId="56" fillId="28" borderId="29" xfId="0" applyNumberFormat="1" applyFont="1" applyFill="1" applyBorder="1"/>
    <xf numFmtId="0" fontId="56" fillId="12" borderId="29" xfId="0" applyFont="1" applyFill="1" applyBorder="1"/>
    <xf numFmtId="0" fontId="56" fillId="12" borderId="29" xfId="0" applyFont="1" applyFill="1" applyBorder="1" applyAlignment="1">
      <alignment horizontal="center"/>
    </xf>
    <xf numFmtId="167" fontId="56" fillId="12" borderId="29" xfId="0" applyNumberFormat="1" applyFont="1" applyFill="1" applyBorder="1"/>
    <xf numFmtId="0" fontId="56" fillId="28" borderId="29" xfId="0" applyFont="1" applyFill="1" applyBorder="1"/>
    <xf numFmtId="0" fontId="57" fillId="0" borderId="9" xfId="0" applyFont="1" applyBorder="1" applyAlignment="1">
      <alignment horizontal="center"/>
    </xf>
    <xf numFmtId="0" fontId="57" fillId="0" borderId="11" xfId="0" applyFont="1" applyBorder="1" applyAlignment="1">
      <alignment horizontal="center"/>
    </xf>
    <xf numFmtId="0" fontId="0" fillId="0" borderId="9" xfId="0" applyBorder="1" applyAlignment="1">
      <alignment horizontal="right"/>
    </xf>
    <xf numFmtId="167" fontId="0" fillId="0" borderId="9" xfId="0" applyNumberFormat="1" applyBorder="1"/>
    <xf numFmtId="167" fontId="56" fillId="28" borderId="29" xfId="0" applyNumberFormat="1" applyFont="1" applyFill="1" applyBorder="1" applyAlignment="1">
      <alignment horizontal="center"/>
    </xf>
    <xf numFmtId="167" fontId="0" fillId="28" borderId="9" xfId="0" applyNumberFormat="1" applyFill="1" applyBorder="1"/>
    <xf numFmtId="167" fontId="0" fillId="28" borderId="10" xfId="0" applyNumberFormat="1" applyFill="1" applyBorder="1"/>
    <xf numFmtId="167" fontId="0" fillId="28" borderId="10" xfId="0" applyNumberFormat="1" applyFill="1" applyBorder="1" applyAlignment="1">
      <alignment horizontal="center"/>
    </xf>
    <xf numFmtId="167" fontId="56" fillId="28" borderId="11" xfId="0" applyNumberFormat="1" applyFont="1" applyFill="1" applyBorder="1" applyAlignment="1">
      <alignment horizontal="center"/>
    </xf>
    <xf numFmtId="167" fontId="21" fillId="28" borderId="9" xfId="0" applyNumberFormat="1" applyFont="1" applyFill="1" applyBorder="1"/>
    <xf numFmtId="167" fontId="21" fillId="28" borderId="10" xfId="0" applyNumberFormat="1" applyFont="1" applyFill="1" applyBorder="1"/>
    <xf numFmtId="0" fontId="21" fillId="0" borderId="0" xfId="0" applyFont="1" applyAlignment="1"/>
    <xf numFmtId="167" fontId="21" fillId="27" borderId="29" xfId="0" applyNumberFormat="1" applyFont="1" applyFill="1" applyBorder="1" applyAlignment="1">
      <alignment horizontal="center"/>
    </xf>
    <xf numFmtId="167" fontId="58" fillId="28" borderId="30" xfId="0" applyNumberFormat="1" applyFont="1" applyFill="1" applyBorder="1"/>
    <xf numFmtId="0" fontId="21" fillId="27" borderId="29" xfId="0" applyFont="1" applyFill="1" applyBorder="1" applyAlignment="1">
      <alignment horizontal="center"/>
    </xf>
    <xf numFmtId="4" fontId="0" fillId="0" borderId="29" xfId="0" applyNumberFormat="1" applyBorder="1"/>
    <xf numFmtId="0" fontId="21" fillId="28" borderId="9" xfId="0" applyFont="1" applyFill="1" applyBorder="1" applyAlignment="1">
      <alignment horizontal="center"/>
    </xf>
    <xf numFmtId="167" fontId="21" fillId="28" borderId="9" xfId="0" applyNumberFormat="1" applyFont="1" applyFill="1" applyBorder="1" applyAlignment="1">
      <alignment horizontal="center"/>
    </xf>
    <xf numFmtId="2" fontId="56" fillId="27" borderId="29" xfId="0" applyNumberFormat="1" applyFont="1" applyFill="1" applyBorder="1" applyAlignment="1">
      <alignment horizontal="center"/>
    </xf>
    <xf numFmtId="2" fontId="21" fillId="27" borderId="29" xfId="0" applyNumberFormat="1" applyFont="1" applyFill="1" applyBorder="1" applyAlignment="1">
      <alignment horizontal="center"/>
    </xf>
    <xf numFmtId="2" fontId="57" fillId="0" borderId="11" xfId="0" applyNumberFormat="1" applyFont="1" applyBorder="1" applyAlignment="1">
      <alignment horizontal="center"/>
    </xf>
    <xf numFmtId="2" fontId="21" fillId="28" borderId="29" xfId="0" applyNumberFormat="1" applyFont="1" applyFill="1" applyBorder="1" applyAlignment="1">
      <alignment horizontal="center"/>
    </xf>
    <xf numFmtId="2" fontId="21" fillId="28" borderId="9" xfId="0" applyNumberFormat="1" applyFont="1" applyFill="1" applyBorder="1" applyAlignment="1">
      <alignment horizontal="center"/>
    </xf>
    <xf numFmtId="2" fontId="0" fillId="0" borderId="9" xfId="0" applyNumberFormat="1" applyBorder="1" applyAlignment="1">
      <alignment horizontal="center"/>
    </xf>
    <xf numFmtId="2" fontId="56" fillId="29" borderId="29" xfId="0" applyNumberFormat="1" applyFont="1" applyFill="1" applyBorder="1" applyAlignment="1">
      <alignment horizontal="center"/>
    </xf>
    <xf numFmtId="2" fontId="0" fillId="0" borderId="29" xfId="0" applyNumberFormat="1" applyBorder="1"/>
    <xf numFmtId="2" fontId="56" fillId="12" borderId="29" xfId="0" applyNumberFormat="1" applyFont="1" applyFill="1" applyBorder="1"/>
    <xf numFmtId="2" fontId="0" fillId="0" borderId="0" xfId="0" applyNumberFormat="1"/>
    <xf numFmtId="177" fontId="56" fillId="27" borderId="29" xfId="0" applyNumberFormat="1" applyFont="1" applyFill="1" applyBorder="1" applyAlignment="1">
      <alignment horizontal="center"/>
    </xf>
    <xf numFmtId="177" fontId="21" fillId="27" borderId="29" xfId="0" applyNumberFormat="1" applyFont="1" applyFill="1" applyBorder="1" applyAlignment="1">
      <alignment horizontal="center"/>
    </xf>
    <xf numFmtId="177" fontId="57" fillId="0" borderId="11" xfId="0" applyNumberFormat="1" applyFont="1" applyBorder="1" applyAlignment="1">
      <alignment horizontal="center"/>
    </xf>
    <xf numFmtId="177" fontId="21" fillId="28" borderId="29" xfId="0" applyNumberFormat="1" applyFont="1" applyFill="1" applyBorder="1" applyAlignment="1">
      <alignment horizontal="center"/>
    </xf>
    <xf numFmtId="177" fontId="21" fillId="28" borderId="9" xfId="0" applyNumberFormat="1" applyFont="1" applyFill="1" applyBorder="1" applyAlignment="1">
      <alignment horizontal="center"/>
    </xf>
    <xf numFmtId="177" fontId="0" fillId="0" borderId="9" xfId="0" applyNumberFormat="1" applyBorder="1" applyAlignment="1">
      <alignment horizontal="center"/>
    </xf>
    <xf numFmtId="177" fontId="56" fillId="29" borderId="29" xfId="0" applyNumberFormat="1" applyFont="1" applyFill="1" applyBorder="1" applyAlignment="1">
      <alignment horizontal="center"/>
    </xf>
    <xf numFmtId="177" fontId="0" fillId="0" borderId="29" xfId="0" applyNumberFormat="1" applyBorder="1"/>
    <xf numFmtId="177" fontId="0" fillId="0" borderId="0" xfId="0" applyNumberFormat="1"/>
    <xf numFmtId="0" fontId="59" fillId="0" borderId="29" xfId="0" applyFont="1" applyBorder="1" applyAlignment="1">
      <alignment horizontal="left" vertical="center"/>
    </xf>
    <xf numFmtId="0" fontId="59" fillId="0" borderId="29" xfId="0" applyFont="1" applyBorder="1" applyAlignment="1">
      <alignment horizontal="center" vertical="center"/>
    </xf>
    <xf numFmtId="0" fontId="59" fillId="30" borderId="29" xfId="0" applyFont="1" applyFill="1" applyBorder="1" applyAlignment="1">
      <alignment horizontal="center" vertical="center"/>
    </xf>
    <xf numFmtId="0" fontId="59" fillId="9" borderId="29" xfId="0" applyFont="1" applyFill="1" applyBorder="1" applyAlignment="1">
      <alignment horizontal="center" vertical="center" wrapText="1"/>
    </xf>
    <xf numFmtId="0" fontId="60" fillId="0" borderId="29" xfId="0" applyFont="1" applyBorder="1"/>
    <xf numFmtId="0" fontId="60" fillId="0" borderId="29" xfId="0" applyNumberFormat="1" applyFont="1" applyBorder="1"/>
    <xf numFmtId="0" fontId="59" fillId="9" borderId="29" xfId="0" applyFont="1" applyFill="1" applyBorder="1" applyAlignment="1">
      <alignment horizontal="center" vertical="center"/>
    </xf>
    <xf numFmtId="0" fontId="61" fillId="0" borderId="29" xfId="0" applyFont="1" applyBorder="1" applyAlignment="1">
      <alignment horizontal="center" vertical="center"/>
    </xf>
    <xf numFmtId="0" fontId="60" fillId="0" borderId="29" xfId="0" applyFont="1" applyFill="1" applyBorder="1"/>
    <xf numFmtId="0" fontId="60" fillId="0" borderId="29" xfId="0" applyNumberFormat="1" applyFont="1" applyFill="1" applyBorder="1"/>
    <xf numFmtId="0" fontId="61" fillId="0" borderId="31" xfId="0" applyFont="1" applyBorder="1" applyAlignment="1">
      <alignment horizontal="center" vertical="center"/>
    </xf>
    <xf numFmtId="0" fontId="59" fillId="31" borderId="29" xfId="0" applyFont="1" applyFill="1" applyBorder="1" applyAlignment="1">
      <alignment horizontal="center" vertical="center"/>
    </xf>
    <xf numFmtId="0" fontId="59" fillId="0" borderId="11" xfId="0" applyFont="1" applyBorder="1" applyAlignment="1">
      <alignment horizontal="center" vertical="center"/>
    </xf>
    <xf numFmtId="0" fontId="59" fillId="31" borderId="29" xfId="0" applyFont="1" applyFill="1" applyBorder="1" applyAlignment="1">
      <alignment vertical="center"/>
    </xf>
    <xf numFmtId="0" fontId="60" fillId="0" borderId="29" xfId="0" applyFont="1" applyBorder="1" applyAlignment="1">
      <alignment horizontal="right" vertical="center"/>
    </xf>
    <xf numFmtId="0" fontId="60" fillId="0" borderId="29" xfId="0" applyFont="1" applyBorder="1" applyAlignment="1"/>
    <xf numFmtId="0" fontId="62" fillId="0" borderId="10" xfId="0" applyFont="1" applyFill="1" applyBorder="1" applyAlignment="1">
      <alignment horizontal="left" vertical="center" wrapText="1"/>
    </xf>
    <xf numFmtId="0" fontId="0" fillId="32" borderId="29" xfId="0" applyFill="1" applyBorder="1" applyAlignment="1">
      <alignment horizontal="center" vertical="center" wrapText="1"/>
    </xf>
    <xf numFmtId="0" fontId="59" fillId="33" borderId="29" xfId="0" applyFont="1" applyFill="1" applyBorder="1" applyAlignment="1">
      <alignment horizontal="center" vertical="center" wrapText="1"/>
    </xf>
    <xf numFmtId="0" fontId="63" fillId="32" borderId="29" xfId="0" applyFont="1" applyFill="1" applyBorder="1" applyAlignment="1">
      <alignment horizontal="center" vertical="center" wrapText="1"/>
    </xf>
    <xf numFmtId="0" fontId="0" fillId="0" borderId="0" xfId="0" applyAlignment="1">
      <alignment vertical="center" wrapText="1"/>
    </xf>
    <xf numFmtId="174" fontId="56" fillId="27" borderId="29" xfId="0" applyNumberFormat="1" applyFont="1" applyFill="1" applyBorder="1" applyAlignment="1">
      <alignment horizontal="center"/>
    </xf>
    <xf numFmtId="174" fontId="21" fillId="27" borderId="29" xfId="0" applyNumberFormat="1" applyFont="1" applyFill="1" applyBorder="1" applyAlignment="1">
      <alignment horizontal="center"/>
    </xf>
    <xf numFmtId="174" fontId="57" fillId="0" borderId="11" xfId="0" applyNumberFormat="1" applyFont="1" applyBorder="1" applyAlignment="1">
      <alignment horizontal="center"/>
    </xf>
    <xf numFmtId="174" fontId="21" fillId="28" borderId="29" xfId="0" applyNumberFormat="1" applyFont="1" applyFill="1" applyBorder="1" applyAlignment="1">
      <alignment horizontal="center"/>
    </xf>
    <xf numFmtId="174" fontId="21" fillId="28" borderId="9" xfId="0" applyNumberFormat="1" applyFont="1" applyFill="1" applyBorder="1" applyAlignment="1">
      <alignment horizontal="center"/>
    </xf>
    <xf numFmtId="174" fontId="0" fillId="0" borderId="9" xfId="0" applyNumberFormat="1" applyBorder="1" applyAlignment="1">
      <alignment horizontal="center"/>
    </xf>
    <xf numFmtId="174" fontId="56" fillId="29" borderId="29" xfId="0" applyNumberFormat="1" applyFont="1" applyFill="1" applyBorder="1" applyAlignment="1">
      <alignment horizontal="center"/>
    </xf>
    <xf numFmtId="174" fontId="0" fillId="0" borderId="29" xfId="0" applyNumberFormat="1" applyBorder="1"/>
    <xf numFmtId="174" fontId="0" fillId="0" borderId="0" xfId="0" applyNumberFormat="1"/>
    <xf numFmtId="174" fontId="21" fillId="0" borderId="11" xfId="0" applyNumberFormat="1" applyFont="1" applyFill="1" applyBorder="1" applyAlignment="1">
      <alignment horizontal="center"/>
    </xf>
    <xf numFmtId="174" fontId="21" fillId="0" borderId="9" xfId="0" applyNumberFormat="1" applyFont="1" applyFill="1" applyBorder="1" applyAlignment="1">
      <alignment horizontal="center"/>
    </xf>
    <xf numFmtId="174" fontId="1" fillId="29" borderId="29" xfId="0" applyNumberFormat="1" applyFont="1" applyFill="1" applyBorder="1" applyAlignment="1">
      <alignment horizontal="right"/>
    </xf>
    <xf numFmtId="174" fontId="10" fillId="0" borderId="29" xfId="0" applyNumberFormat="1" applyFont="1" applyFill="1" applyBorder="1" applyAlignment="1">
      <alignment horizontal="right"/>
    </xf>
    <xf numFmtId="2" fontId="0" fillId="0" borderId="29" xfId="0" applyNumberFormat="1" applyBorder="1" applyAlignment="1">
      <alignment horizontal="center"/>
    </xf>
    <xf numFmtId="2" fontId="56" fillId="12" borderId="29" xfId="0" applyNumberFormat="1" applyFont="1" applyFill="1" applyBorder="1" applyAlignment="1">
      <alignment horizontal="center"/>
    </xf>
    <xf numFmtId="177" fontId="21" fillId="28" borderId="9" xfId="0" applyNumberFormat="1" applyFont="1" applyFill="1" applyBorder="1" applyAlignment="1">
      <alignment horizontal="right"/>
    </xf>
    <xf numFmtId="0" fontId="10" fillId="34" borderId="0" xfId="0" applyFont="1" applyFill="1" applyAlignment="1"/>
    <xf numFmtId="0" fontId="0" fillId="34" borderId="0" xfId="0" applyFill="1" applyAlignment="1"/>
    <xf numFmtId="0" fontId="10" fillId="27" borderId="0" xfId="0" applyFont="1" applyFill="1" applyAlignment="1"/>
    <xf numFmtId="0" fontId="0" fillId="27" borderId="0" xfId="0" applyFill="1" applyAlignment="1"/>
    <xf numFmtId="0" fontId="10" fillId="17" borderId="0" xfId="0" applyFont="1" applyFill="1" applyAlignment="1"/>
    <xf numFmtId="0" fontId="0" fillId="17" borderId="0" xfId="0" applyFill="1" applyAlignment="1"/>
    <xf numFmtId="0" fontId="10" fillId="29" borderId="0" xfId="0" applyFont="1" applyFill="1" applyAlignment="1"/>
    <xf numFmtId="0" fontId="0" fillId="29" borderId="0" xfId="0" applyFill="1" applyAlignment="1"/>
    <xf numFmtId="0" fontId="10" fillId="12" borderId="0" xfId="0" applyFont="1" applyFill="1" applyAlignment="1"/>
    <xf numFmtId="0" fontId="0" fillId="12" borderId="0" xfId="0" applyFill="1" applyAlignment="1"/>
    <xf numFmtId="0" fontId="10" fillId="35" borderId="0" xfId="0" applyFont="1" applyFill="1" applyAlignment="1"/>
    <xf numFmtId="0" fontId="0" fillId="35" borderId="0" xfId="0" applyFill="1" applyAlignment="1"/>
    <xf numFmtId="0" fontId="10" fillId="28" borderId="0" xfId="0" applyFont="1" applyFill="1" applyAlignment="1"/>
    <xf numFmtId="0" fontId="0" fillId="28" borderId="0" xfId="0" applyFill="1" applyAlignment="1"/>
    <xf numFmtId="0" fontId="0" fillId="34" borderId="0" xfId="0" applyFill="1" applyAlignment="1">
      <alignment horizontal="right"/>
    </xf>
    <xf numFmtId="0" fontId="0" fillId="0" borderId="0" xfId="0" applyAlignment="1">
      <alignment horizontal="center"/>
    </xf>
    <xf numFmtId="15" fontId="21" fillId="0" borderId="5" xfId="0" quotePrefix="1" applyNumberFormat="1" applyFont="1" applyBorder="1" applyAlignment="1">
      <alignment horizontal="left"/>
    </xf>
    <xf numFmtId="171" fontId="34" fillId="0" borderId="4" xfId="0" applyNumberFormat="1" applyFont="1" applyBorder="1" applyAlignment="1">
      <alignment horizontal="center"/>
    </xf>
    <xf numFmtId="171" fontId="34" fillId="0" borderId="5" xfId="0" applyNumberFormat="1" applyFont="1" applyBorder="1" applyAlignment="1">
      <alignment horizontal="center"/>
    </xf>
    <xf numFmtId="171" fontId="34" fillId="0" borderId="7" xfId="0" applyNumberFormat="1" applyFont="1" applyBorder="1" applyAlignment="1">
      <alignment horizontal="center"/>
    </xf>
    <xf numFmtId="167" fontId="40" fillId="0" borderId="8" xfId="0" applyNumberFormat="1" applyFont="1" applyFill="1" applyBorder="1"/>
    <xf numFmtId="0" fontId="52" fillId="0" borderId="0" xfId="0" applyFont="1"/>
    <xf numFmtId="39" fontId="40" fillId="0" borderId="0" xfId="0" applyNumberFormat="1" applyFont="1" applyFill="1" applyBorder="1"/>
    <xf numFmtId="9" fontId="10" fillId="0" borderId="6"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4" fontId="0" fillId="0" borderId="6" xfId="0" applyNumberFormat="1" applyBorder="1"/>
    <xf numFmtId="4" fontId="10" fillId="0" borderId="7" xfId="0" applyNumberFormat="1" applyFont="1" applyBorder="1" applyAlignment="1">
      <alignment horizontal="center" vertical="center" wrapText="1"/>
    </xf>
    <xf numFmtId="43" fontId="11" fillId="0" borderId="3" xfId="1" applyFont="1" applyBorder="1"/>
    <xf numFmtId="43" fontId="11" fillId="0" borderId="0" xfId="1" applyFont="1" applyBorder="1"/>
    <xf numFmtId="0" fontId="10" fillId="0" borderId="3" xfId="0" applyFont="1" applyBorder="1" applyAlignment="1">
      <alignment horizontal="center" vertical="center" wrapText="1"/>
    </xf>
    <xf numFmtId="9" fontId="0" fillId="0" borderId="0" xfId="0" applyNumberFormat="1" applyBorder="1" applyAlignment="1">
      <alignment horizontal="center" vertical="center" wrapText="1"/>
    </xf>
    <xf numFmtId="39" fontId="0" fillId="0" borderId="3" xfId="1" applyNumberFormat="1" applyFont="1" applyBorder="1"/>
    <xf numFmtId="169" fontId="28" fillId="0" borderId="0" xfId="1" applyNumberFormat="1" applyFont="1" applyFill="1" applyBorder="1" applyAlignment="1">
      <alignment horizontal="center"/>
    </xf>
    <xf numFmtId="167" fontId="0" fillId="0" borderId="29" xfId="0" applyNumberFormat="1" applyFill="1" applyBorder="1"/>
    <xf numFmtId="1" fontId="0" fillId="0" borderId="29" xfId="0" applyNumberFormat="1" applyBorder="1"/>
    <xf numFmtId="1" fontId="56" fillId="12" borderId="29" xfId="0" applyNumberFormat="1" applyFont="1" applyFill="1" applyBorder="1"/>
    <xf numFmtId="1" fontId="56" fillId="29" borderId="29" xfId="0" applyNumberFormat="1" applyFont="1" applyFill="1" applyBorder="1" applyAlignment="1">
      <alignment horizontal="center"/>
    </xf>
    <xf numFmtId="1" fontId="57" fillId="0" borderId="11" xfId="0" applyNumberFormat="1" applyFont="1" applyBorder="1" applyAlignment="1">
      <alignment horizontal="center"/>
    </xf>
    <xf numFmtId="1" fontId="10" fillId="0" borderId="0" xfId="0" quotePrefix="1" applyNumberFormat="1" applyFont="1" applyAlignment="1">
      <alignment horizontal="right"/>
    </xf>
    <xf numFmtId="1" fontId="0" fillId="5" borderId="0" xfId="0" quotePrefix="1" applyNumberFormat="1" applyFill="1" applyAlignment="1">
      <alignment horizontal="right"/>
    </xf>
    <xf numFmtId="1" fontId="0" fillId="0" borderId="0" xfId="0" applyNumberFormat="1" applyAlignment="1">
      <alignment horizontal="right"/>
    </xf>
    <xf numFmtId="0" fontId="40" fillId="0" borderId="5" xfId="0" applyFont="1" applyFill="1" applyBorder="1" applyAlignment="1">
      <alignment horizontal="center" vertical="center" wrapText="1"/>
    </xf>
    <xf numFmtId="0" fontId="0" fillId="12" borderId="0" xfId="0" applyFill="1"/>
    <xf numFmtId="167" fontId="0" fillId="12" borderId="5" xfId="0" applyNumberFormat="1" applyFill="1" applyBorder="1"/>
    <xf numFmtId="0" fontId="0" fillId="12" borderId="3" xfId="0" applyFill="1" applyBorder="1"/>
    <xf numFmtId="0" fontId="0" fillId="12" borderId="0" xfId="0" applyFill="1" applyBorder="1"/>
    <xf numFmtId="167" fontId="0" fillId="12" borderId="0" xfId="0" applyNumberFormat="1" applyFill="1" applyBorder="1"/>
    <xf numFmtId="39" fontId="0" fillId="12" borderId="6" xfId="0" applyNumberFormat="1" applyFill="1" applyBorder="1"/>
    <xf numFmtId="0" fontId="0" fillId="12" borderId="5" xfId="0" applyFill="1" applyBorder="1"/>
    <xf numFmtId="0" fontId="0" fillId="12" borderId="6" xfId="0" applyFill="1" applyBorder="1"/>
    <xf numFmtId="0" fontId="0" fillId="12" borderId="4" xfId="0" applyFill="1" applyBorder="1"/>
    <xf numFmtId="0" fontId="0" fillId="12" borderId="7" xfId="0" applyFill="1" applyBorder="1"/>
    <xf numFmtId="178" fontId="0" fillId="0" borderId="0" xfId="0" applyNumberFormat="1"/>
    <xf numFmtId="178" fontId="0" fillId="0" borderId="0" xfId="20" applyNumberFormat="1" applyFont="1"/>
    <xf numFmtId="178" fontId="21" fillId="0" borderId="0" xfId="0" applyNumberFormat="1" applyFont="1"/>
    <xf numFmtId="178" fontId="0" fillId="0" borderId="0" xfId="0" applyNumberFormat="1" applyFill="1"/>
    <xf numFmtId="177" fontId="15" fillId="0" borderId="0" xfId="0" applyNumberFormat="1" applyFont="1" applyAlignment="1"/>
    <xf numFmtId="177" fontId="21" fillId="0" borderId="0" xfId="0" applyNumberFormat="1" applyFont="1" applyAlignment="1">
      <alignment horizontal="left"/>
    </xf>
    <xf numFmtId="177" fontId="28" fillId="0" borderId="2" xfId="0" applyNumberFormat="1" applyFont="1" applyBorder="1" applyAlignment="1">
      <alignment horizontal="left"/>
    </xf>
    <xf numFmtId="177" fontId="28" fillId="0" borderId="5" xfId="0" applyNumberFormat="1" applyFont="1" applyBorder="1" applyAlignment="1">
      <alignment horizontal="left"/>
    </xf>
    <xf numFmtId="177" fontId="10" fillId="0" borderId="0" xfId="0" applyNumberFormat="1" applyFont="1"/>
    <xf numFmtId="177" fontId="10" fillId="0" borderId="2" xfId="0" applyNumberFormat="1" applyFont="1" applyBorder="1" applyAlignment="1">
      <alignment horizontal="center"/>
    </xf>
    <xf numFmtId="177" fontId="10" fillId="0" borderId="0" xfId="0" applyNumberFormat="1" applyFont="1" applyBorder="1" applyAlignment="1">
      <alignment horizontal="center"/>
    </xf>
    <xf numFmtId="177" fontId="10" fillId="0" borderId="5" xfId="0" applyNumberFormat="1" applyFont="1" applyBorder="1" applyAlignment="1">
      <alignment horizontal="center"/>
    </xf>
    <xf numFmtId="177" fontId="21" fillId="0" borderId="0" xfId="0" applyNumberFormat="1" applyFont="1" applyFill="1"/>
    <xf numFmtId="177" fontId="10" fillId="2" borderId="0" xfId="0" applyNumberFormat="1" applyFont="1" applyFill="1"/>
    <xf numFmtId="177" fontId="21" fillId="19" borderId="0" xfId="0" applyNumberFormat="1" applyFont="1" applyFill="1"/>
    <xf numFmtId="177" fontId="10" fillId="10" borderId="0" xfId="0" applyNumberFormat="1" applyFont="1" applyFill="1"/>
    <xf numFmtId="177" fontId="10" fillId="3" borderId="0" xfId="0" applyNumberFormat="1" applyFont="1" applyFill="1"/>
    <xf numFmtId="177" fontId="10" fillId="0" borderId="0" xfId="0" applyNumberFormat="1" applyFont="1" applyFill="1"/>
    <xf numFmtId="3" fontId="10" fillId="0" borderId="2" xfId="1" applyNumberFormat="1" applyFont="1" applyBorder="1" applyAlignment="1">
      <alignment horizontal="center"/>
    </xf>
    <xf numFmtId="39" fontId="10" fillId="0" borderId="23" xfId="0" applyNumberFormat="1" applyFont="1" applyBorder="1"/>
    <xf numFmtId="0" fontId="52" fillId="0" borderId="0" xfId="0" applyFont="1" applyFill="1" applyBorder="1" applyAlignment="1">
      <alignment horizontal="center" wrapText="1"/>
    </xf>
    <xf numFmtId="39" fontId="48" fillId="0" borderId="0" xfId="0" applyNumberFormat="1" applyFont="1" applyFill="1" applyBorder="1" applyAlignment="1">
      <alignment wrapText="1"/>
    </xf>
    <xf numFmtId="39" fontId="48" fillId="6" borderId="0" xfId="0" applyNumberFormat="1" applyFont="1" applyFill="1" applyBorder="1" applyAlignment="1">
      <alignment wrapText="1"/>
    </xf>
    <xf numFmtId="39" fontId="48" fillId="0" borderId="6" xfId="0" applyNumberFormat="1" applyFont="1" applyFill="1" applyBorder="1"/>
    <xf numFmtId="0" fontId="48" fillId="0" borderId="0" xfId="0" applyFont="1" applyBorder="1"/>
    <xf numFmtId="0" fontId="48" fillId="20" borderId="0" xfId="0" applyFont="1" applyFill="1"/>
    <xf numFmtId="0" fontId="38" fillId="0" borderId="4" xfId="0" applyFont="1" applyFill="1" applyBorder="1"/>
    <xf numFmtId="0" fontId="10" fillId="13" borderId="4" xfId="0" applyFont="1" applyFill="1" applyBorder="1"/>
    <xf numFmtId="0" fontId="10" fillId="13" borderId="5" xfId="0" applyFont="1" applyFill="1" applyBorder="1" applyAlignment="1">
      <alignment horizontal="center"/>
    </xf>
    <xf numFmtId="0" fontId="0" fillId="0" borderId="29" xfId="0" applyFill="1" applyBorder="1"/>
    <xf numFmtId="2" fontId="0" fillId="0" borderId="29" xfId="0" applyNumberFormat="1" applyFill="1" applyBorder="1"/>
    <xf numFmtId="2" fontId="0" fillId="0" borderId="21" xfId="0" applyNumberFormat="1" applyBorder="1" applyAlignment="1">
      <alignment horizontal="center"/>
    </xf>
    <xf numFmtId="2" fontId="0" fillId="0" borderId="22" xfId="0" applyNumberFormat="1" applyBorder="1" applyAlignment="1">
      <alignment horizontal="center"/>
    </xf>
    <xf numFmtId="0" fontId="0" fillId="0" borderId="0" xfId="0" applyAlignment="1">
      <alignment horizontal="center"/>
    </xf>
    <xf numFmtId="0" fontId="59" fillId="0" borderId="29" xfId="0" applyFont="1" applyBorder="1" applyAlignment="1">
      <alignment horizontal="center" vertical="center"/>
    </xf>
    <xf numFmtId="0" fontId="21" fillId="0" borderId="0" xfId="0" applyFont="1" applyAlignment="1"/>
    <xf numFmtId="0" fontId="15" fillId="0" borderId="0" xfId="0" applyFont="1" applyAlignment="1">
      <alignment horizontal="left"/>
    </xf>
    <xf numFmtId="0" fontId="28" fillId="0" borderId="12" xfId="0" applyFont="1" applyBorder="1" applyAlignment="1">
      <alignment horizontal="left" wrapText="1"/>
    </xf>
    <xf numFmtId="0" fontId="0" fillId="0" borderId="1" xfId="0" applyBorder="1" applyAlignment="1">
      <alignment horizontal="left"/>
    </xf>
    <xf numFmtId="0" fontId="0" fillId="0" borderId="2" xfId="0" applyBorder="1" applyAlignment="1">
      <alignment horizontal="left"/>
    </xf>
    <xf numFmtId="0" fontId="21" fillId="0" borderId="0" xfId="0" applyFont="1" applyAlignment="1">
      <alignment horizontal="left"/>
    </xf>
    <xf numFmtId="0" fontId="28" fillId="0" borderId="21" xfId="0" applyFont="1"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43" fontId="0" fillId="0" borderId="6" xfId="1" applyFont="1" applyBorder="1" applyAlignment="1">
      <alignment horizontal="center" vertical="center" wrapText="1"/>
    </xf>
    <xf numFmtId="43" fontId="0" fillId="0" borderId="7" xfId="1" applyFont="1" applyBorder="1" applyAlignment="1">
      <alignment horizontal="center" vertical="center" wrapText="1"/>
    </xf>
    <xf numFmtId="0" fontId="28" fillId="0" borderId="2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2" xfId="0" applyFont="1" applyBorder="1" applyAlignment="1">
      <alignment horizontal="center" vertical="center" wrapText="1"/>
    </xf>
    <xf numFmtId="0" fontId="0" fillId="0" borderId="0" xfId="0" applyBorder="1" applyAlignment="1">
      <alignment horizontal="center"/>
    </xf>
    <xf numFmtId="0" fontId="0" fillId="12" borderId="1" xfId="0" applyFill="1" applyBorder="1" applyAlignment="1">
      <alignment horizontal="center"/>
    </xf>
    <xf numFmtId="0" fontId="0" fillId="12" borderId="2" xfId="0" applyFill="1" applyBorder="1" applyAlignment="1">
      <alignment horizontal="center"/>
    </xf>
    <xf numFmtId="0" fontId="0" fillId="12" borderId="8" xfId="0" applyFill="1" applyBorder="1" applyAlignment="1">
      <alignment horizontal="center"/>
    </xf>
    <xf numFmtId="0" fontId="42" fillId="23" borderId="1" xfId="0" applyFont="1" applyFill="1" applyBorder="1" applyAlignment="1">
      <alignment horizontal="center" vertical="center" wrapText="1"/>
    </xf>
    <xf numFmtId="0" fontId="42" fillId="23" borderId="8" xfId="0" applyFont="1" applyFill="1" applyBorder="1" applyAlignment="1">
      <alignment horizontal="center" vertical="center" wrapText="1"/>
    </xf>
    <xf numFmtId="0" fontId="42" fillId="23" borderId="3" xfId="0" applyFont="1" applyFill="1" applyBorder="1" applyAlignment="1">
      <alignment horizontal="center" vertical="center" wrapText="1"/>
    </xf>
    <xf numFmtId="0" fontId="42" fillId="23" borderId="6" xfId="0" applyFont="1" applyFill="1" applyBorder="1" applyAlignment="1">
      <alignment horizontal="center" vertical="center" wrapText="1"/>
    </xf>
    <xf numFmtId="0" fontId="0" fillId="23" borderId="3" xfId="0" applyFill="1" applyBorder="1" applyAlignment="1">
      <alignment horizontal="center" vertical="center" wrapText="1"/>
    </xf>
    <xf numFmtId="0" fontId="0" fillId="23" borderId="6" xfId="0" applyFill="1" applyBorder="1" applyAlignment="1">
      <alignment horizontal="center" vertical="center" wrapText="1"/>
    </xf>
    <xf numFmtId="0" fontId="0" fillId="23" borderId="4" xfId="0" applyFill="1" applyBorder="1" applyAlignment="1">
      <alignment horizontal="center" vertical="center" wrapText="1"/>
    </xf>
    <xf numFmtId="0" fontId="0" fillId="23" borderId="7" xfId="0" applyFill="1" applyBorder="1" applyAlignment="1">
      <alignment horizontal="center" vertical="center" wrapText="1"/>
    </xf>
    <xf numFmtId="0" fontId="0" fillId="0" borderId="12" xfId="0" applyBorder="1" applyAlignment="1">
      <alignment horizontal="center"/>
    </xf>
    <xf numFmtId="0" fontId="28"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5" xfId="0" applyFont="1" applyBorder="1" applyAlignment="1">
      <alignment horizontal="center" vertical="center" wrapText="1"/>
    </xf>
    <xf numFmtId="0" fontId="15" fillId="0" borderId="0" xfId="0" applyFont="1" applyAlignment="1"/>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21" fillId="0" borderId="3" xfId="0" applyFont="1" applyBorder="1" applyAlignment="1">
      <alignment horizontal="center"/>
    </xf>
    <xf numFmtId="0" fontId="21" fillId="0" borderId="0" xfId="0" applyFont="1" applyBorder="1" applyAlignment="1">
      <alignment horizontal="center"/>
    </xf>
    <xf numFmtId="0" fontId="21" fillId="0" borderId="6" xfId="0" applyFont="1" applyBorder="1" applyAlignment="1">
      <alignment horizontal="center"/>
    </xf>
    <xf numFmtId="0" fontId="15" fillId="0" borderId="3" xfId="0" applyFont="1" applyBorder="1" applyAlignment="1">
      <alignment horizontal="center"/>
    </xf>
    <xf numFmtId="0" fontId="15" fillId="0" borderId="0" xfId="0" applyFont="1" applyBorder="1" applyAlignment="1">
      <alignment horizontal="center"/>
    </xf>
    <xf numFmtId="0" fontId="15" fillId="0" borderId="6" xfId="0" applyFont="1" applyBorder="1" applyAlignment="1">
      <alignment horizontal="center"/>
    </xf>
    <xf numFmtId="15" fontId="10" fillId="0" borderId="3" xfId="0" applyNumberFormat="1" applyFont="1" applyBorder="1" applyAlignment="1">
      <alignment horizontal="center"/>
    </xf>
    <xf numFmtId="0" fontId="0" fillId="0" borderId="6" xfId="0"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7" xfId="0" applyFont="1" applyBorder="1" applyAlignment="1">
      <alignment horizontal="center"/>
    </xf>
  </cellXfs>
  <cellStyles count="123">
    <cellStyle name="Comma" xfId="1" builtinId="3"/>
    <cellStyle name="Comma 2" xfId="18"/>
    <cellStyle name="Comma 2 2" xfId="25"/>
    <cellStyle name="Comma 2 2 2" xfId="57"/>
    <cellStyle name="Comma 2 2 2 2" xfId="87"/>
    <cellStyle name="Comma 2 2 2 3" xfId="116"/>
    <cellStyle name="Comma 2 2 3" xfId="71"/>
    <cellStyle name="Comma 2 2 4" xfId="101"/>
    <cellStyle name="Comma 2 3" xfId="51"/>
    <cellStyle name="Comma 2 3 2" xfId="83"/>
    <cellStyle name="Comma 2 3 3" xfId="112"/>
    <cellStyle name="Comma 2 4" xfId="67"/>
    <cellStyle name="Comma 2 5" xfId="97"/>
    <cellStyle name="Comma 3" xfId="9"/>
    <cellStyle name="Comma 3 2" xfId="26"/>
    <cellStyle name="Comma 4" xfId="27"/>
    <cellStyle name="Comma 5" xfId="24"/>
    <cellStyle name="Comma 5 2" xfId="56"/>
    <cellStyle name="Comma 6" xfId="46"/>
    <cellStyle name="Comma0" xfId="10"/>
    <cellStyle name="Comma0 2" xfId="28"/>
    <cellStyle name="Currency" xfId="2" builtinId="4"/>
    <cellStyle name="Currency 2" xfId="22"/>
    <cellStyle name="Currency 2 2" xfId="29"/>
    <cellStyle name="Currency 2 2 2" xfId="58"/>
    <cellStyle name="Currency 2 2 2 2" xfId="88"/>
    <cellStyle name="Currency 2 2 2 3" xfId="117"/>
    <cellStyle name="Currency 2 2 3" xfId="72"/>
    <cellStyle name="Currency 2 2 4" xfId="102"/>
    <cellStyle name="Currency 2 3" xfId="54"/>
    <cellStyle name="Currency 2 3 2" xfId="85"/>
    <cellStyle name="Currency 2 3 3" xfId="114"/>
    <cellStyle name="Currency 2 4" xfId="69"/>
    <cellStyle name="Currency 2 5" xfId="99"/>
    <cellStyle name="Currency 3" xfId="30"/>
    <cellStyle name="Currency 4" xfId="47"/>
    <cellStyle name="Currency0" xfId="11"/>
    <cellStyle name="Currency0 2" xfId="31"/>
    <cellStyle name="Date" xfId="12"/>
    <cellStyle name="Date 2" xfId="32"/>
    <cellStyle name="Fixed" xfId="13"/>
    <cellStyle name="Fixed 2" xfId="33"/>
    <cellStyle name="Heading 1 2" xfId="14"/>
    <cellStyle name="Heading 2 2" xfId="15"/>
    <cellStyle name="Heading 2 2 2" xfId="34"/>
    <cellStyle name="Normal" xfId="0" builtinId="0"/>
    <cellStyle name="Normal 10" xfId="23"/>
    <cellStyle name="Normal 10 2" xfId="35"/>
    <cellStyle name="Normal 10 2 2" xfId="59"/>
    <cellStyle name="Normal 10 2 2 2" xfId="89"/>
    <cellStyle name="Normal 10 2 2 3" xfId="118"/>
    <cellStyle name="Normal 10 2 3" xfId="73"/>
    <cellStyle name="Normal 10 2 4" xfId="103"/>
    <cellStyle name="Normal 10 3" xfId="55"/>
    <cellStyle name="Normal 10 3 2" xfId="86"/>
    <cellStyle name="Normal 10 3 3" xfId="115"/>
    <cellStyle name="Normal 10 4" xfId="70"/>
    <cellStyle name="Normal 10 5" xfId="100"/>
    <cellStyle name="Normal 11" xfId="45"/>
    <cellStyle name="Normal 11 2" xfId="79"/>
    <cellStyle name="Normal 12" xfId="44"/>
    <cellStyle name="Normal 12 2" xfId="78"/>
    <cellStyle name="Normal 12 3" xfId="108"/>
    <cellStyle name="Normal 2" xfId="3"/>
    <cellStyle name="Normal 2 2" xfId="17"/>
    <cellStyle name="Normal 2 2 2" xfId="36"/>
    <cellStyle name="Normal 2 2 2 2" xfId="60"/>
    <cellStyle name="Normal 2 2 2 2 2" xfId="90"/>
    <cellStyle name="Normal 2 2 2 2 3" xfId="119"/>
    <cellStyle name="Normal 2 2 2 3" xfId="74"/>
    <cellStyle name="Normal 2 2 2 4" xfId="104"/>
    <cellStyle name="Normal 2 2 3" xfId="50"/>
    <cellStyle name="Normal 2 2 3 2" xfId="82"/>
    <cellStyle name="Normal 2 2 3 3" xfId="111"/>
    <cellStyle name="Normal 2 2 4" xfId="66"/>
    <cellStyle name="Normal 2 2 5" xfId="96"/>
    <cellStyle name="Normal 3" xfId="4"/>
    <cellStyle name="Normal 4" xfId="5"/>
    <cellStyle name="Normal 5" xfId="6"/>
    <cellStyle name="Normal 5 2" xfId="37"/>
    <cellStyle name="Normal 5 2 2" xfId="61"/>
    <cellStyle name="Normal 5 2 2 2" xfId="91"/>
    <cellStyle name="Normal 5 2 2 3" xfId="120"/>
    <cellStyle name="Normal 5 2 3" xfId="75"/>
    <cellStyle name="Normal 5 2 4" xfId="105"/>
    <cellStyle name="Normal 5 3" xfId="48"/>
    <cellStyle name="Normal 5 3 2" xfId="80"/>
    <cellStyle name="Normal 5 3 3" xfId="109"/>
    <cellStyle name="Normal 5 4" xfId="64"/>
    <cellStyle name="Normal 5 5" xfId="94"/>
    <cellStyle name="Normal 6" xfId="7"/>
    <cellStyle name="Normal 6 2" xfId="38"/>
    <cellStyle name="Normal 6 2 2" xfId="62"/>
    <cellStyle name="Normal 6 2 2 2" xfId="92"/>
    <cellStyle name="Normal 6 2 2 3" xfId="121"/>
    <cellStyle name="Normal 6 2 3" xfId="76"/>
    <cellStyle name="Normal 6 2 4" xfId="106"/>
    <cellStyle name="Normal 6 3" xfId="49"/>
    <cellStyle name="Normal 6 3 2" xfId="81"/>
    <cellStyle name="Normal 6 3 3" xfId="110"/>
    <cellStyle name="Normal 6 4" xfId="65"/>
    <cellStyle name="Normal 6 5" xfId="95"/>
    <cellStyle name="Normal 7" xfId="8"/>
    <cellStyle name="Normal 7 2" xfId="39"/>
    <cellStyle name="Normal 8" xfId="19"/>
    <cellStyle name="Normal 8 2" xfId="40"/>
    <cellStyle name="Normal 9" xfId="21"/>
    <cellStyle name="Normal 9 2" xfId="41"/>
    <cellStyle name="Normal 9 2 2" xfId="63"/>
    <cellStyle name="Normal 9 2 2 2" xfId="93"/>
    <cellStyle name="Normal 9 2 2 3" xfId="122"/>
    <cellStyle name="Normal 9 2 3" xfId="77"/>
    <cellStyle name="Normal 9 2 4" xfId="107"/>
    <cellStyle name="Normal 9 3" xfId="53"/>
    <cellStyle name="Normal 9 3 2" xfId="84"/>
    <cellStyle name="Normal 9 3 3" xfId="113"/>
    <cellStyle name="Normal 9 4" xfId="68"/>
    <cellStyle name="Normal 9 5" xfId="98"/>
    <cellStyle name="Percent" xfId="20" builtinId="5"/>
    <cellStyle name="Percent 2" xfId="42"/>
    <cellStyle name="Percent 3" xfId="52"/>
    <cellStyle name="Total 2" xfId="16"/>
    <cellStyle name="Total 2 2" xfId="43"/>
  </cellStyles>
  <dxfs count="0"/>
  <tableStyles count="0" defaultTableStyle="TableStyleMedium9" defaultPivotStyle="PivotStyleLight16"/>
  <colors>
    <mruColors>
      <color rgb="FFFFCCCC"/>
      <color rgb="FFCCFFFF"/>
      <color rgb="FF0000FF"/>
      <color rgb="FF99CCFF"/>
      <color rgb="FFFFFFCC"/>
      <color rgb="FFFFFF99"/>
      <color rgb="FFFF66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21-Sandi%20Budget%20Allocations%20Ver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Summary"/>
      <sheetName val="Departments"/>
      <sheetName val="Enrollment Projection"/>
      <sheetName val="Schools"/>
      <sheetName val="Capital Equip-Schools"/>
      <sheetName val="Lib-Media"/>
      <sheetName val="Admin"/>
      <sheetName val="Custodial"/>
      <sheetName val="ELO-School Improvment"/>
      <sheetName val="Nurse"/>
      <sheetName val="Misc School Allocations"/>
      <sheetName val="Mileage-Schools"/>
      <sheetName val="Special Prog"/>
      <sheetName val="Prof'l Dev-Certified"/>
      <sheetName val="Telephone"/>
      <sheetName val="Utilities"/>
      <sheetName val="Prof'l Dev-ESP"/>
      <sheetName val="Field Trips"/>
      <sheetName val="Fuel"/>
      <sheetName val="Mileage-Departments"/>
      <sheetName val="Activities Dept Breakdown"/>
      <sheetName val="Capital Equip-Finance"/>
      <sheetName val="STEM Labs"/>
      <sheetName val="Notes"/>
      <sheetName val="Over-Und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1">
          <cell r="B41">
            <v>1500</v>
          </cell>
          <cell r="E41">
            <v>750</v>
          </cell>
          <cell r="M41">
            <v>3000</v>
          </cell>
        </row>
      </sheetData>
      <sheetData sheetId="14"/>
      <sheetData sheetId="15">
        <row r="45">
          <cell r="E45">
            <v>2320</v>
          </cell>
        </row>
        <row r="46">
          <cell r="E46">
            <v>1425</v>
          </cell>
        </row>
        <row r="56">
          <cell r="E56">
            <v>5950</v>
          </cell>
        </row>
        <row r="58">
          <cell r="E58">
            <v>450</v>
          </cell>
        </row>
      </sheetData>
      <sheetData sheetId="16"/>
      <sheetData sheetId="17"/>
      <sheetData sheetId="18"/>
      <sheetData sheetId="19"/>
      <sheetData sheetId="20"/>
      <sheetData sheetId="21"/>
      <sheetData sheetId="22"/>
      <sheetData sheetId="23">
        <row r="28">
          <cell r="C28">
            <v>42590</v>
          </cell>
        </row>
      </sheetData>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52"/>
  <sheetViews>
    <sheetView tabSelected="1" topLeftCell="A7" zoomScale="130" zoomScaleNormal="130" workbookViewId="0">
      <pane xSplit="1" topLeftCell="D1" activePane="topRight" state="frozen"/>
      <selection pane="topRight" activeCell="K18" sqref="K18"/>
    </sheetView>
  </sheetViews>
  <sheetFormatPr defaultRowHeight="12.75" x14ac:dyDescent="0.2"/>
  <cols>
    <col min="1" max="1" width="22" bestFit="1" customWidth="1"/>
    <col min="2" max="2" width="8.42578125" bestFit="1" customWidth="1"/>
    <col min="3" max="3" width="10.85546875" bestFit="1" customWidth="1"/>
    <col min="4" max="7" width="17.42578125" bestFit="1" customWidth="1"/>
    <col min="8" max="9" width="17.42578125" style="395" bestFit="1" customWidth="1"/>
    <col min="10" max="10" width="19.7109375" style="395" bestFit="1" customWidth="1"/>
    <col min="11" max="12" width="22.85546875" style="743" bestFit="1" customWidth="1"/>
    <col min="13" max="14" width="17.42578125" style="743" bestFit="1" customWidth="1"/>
    <col min="15" max="15" width="14.5703125" style="743" bestFit="1" customWidth="1"/>
    <col min="16" max="16" width="12.5703125" style="743" bestFit="1" customWidth="1"/>
    <col min="17" max="17" width="22.85546875" style="743" bestFit="1" customWidth="1"/>
    <col min="18" max="18" width="11.140625" style="743" bestFit="1" customWidth="1"/>
    <col min="19" max="19" width="22.5703125" style="743" bestFit="1" customWidth="1"/>
    <col min="20" max="20" width="24.42578125" style="743" bestFit="1" customWidth="1"/>
    <col min="21" max="21" width="16" style="752" bestFit="1" customWidth="1"/>
    <col min="22" max="22" width="14.140625" style="782" bestFit="1" customWidth="1"/>
    <col min="23" max="23" width="19.28515625" style="782" customWidth="1"/>
    <col min="24" max="25" width="14.42578125" style="782" bestFit="1" customWidth="1"/>
    <col min="26" max="26" width="11.140625" style="743" bestFit="1" customWidth="1"/>
    <col min="27" max="27" width="10.85546875" style="752" customWidth="1"/>
    <col min="28" max="28" width="16.5703125" style="752" customWidth="1"/>
  </cols>
  <sheetData>
    <row r="1" spans="1:29" ht="15" x14ac:dyDescent="0.25">
      <c r="A1" s="696" t="s">
        <v>1016</v>
      </c>
      <c r="B1" s="696" t="s">
        <v>961</v>
      </c>
      <c r="C1" s="696" t="s">
        <v>59</v>
      </c>
      <c r="D1" s="728" t="s">
        <v>1029</v>
      </c>
      <c r="E1" s="697" t="s">
        <v>1031</v>
      </c>
      <c r="F1" s="697" t="s">
        <v>1032</v>
      </c>
      <c r="G1" s="697" t="s">
        <v>1033</v>
      </c>
      <c r="H1" s="728" t="s">
        <v>1034</v>
      </c>
      <c r="I1" s="697" t="s">
        <v>1035</v>
      </c>
      <c r="J1" s="697" t="s">
        <v>1036</v>
      </c>
      <c r="K1" s="734" t="s">
        <v>1044</v>
      </c>
      <c r="L1" s="734" t="s">
        <v>785</v>
      </c>
      <c r="M1" s="734" t="s">
        <v>1047</v>
      </c>
      <c r="N1" s="734" t="s">
        <v>1048</v>
      </c>
      <c r="O1" s="734" t="s">
        <v>1053</v>
      </c>
      <c r="P1" s="734" t="s">
        <v>1055</v>
      </c>
      <c r="Q1" s="734" t="s">
        <v>1058</v>
      </c>
      <c r="R1" s="734" t="s">
        <v>710</v>
      </c>
      <c r="S1" s="734" t="s">
        <v>880</v>
      </c>
      <c r="T1" s="734" t="s">
        <v>1097</v>
      </c>
      <c r="U1" s="744" t="s">
        <v>1055</v>
      </c>
      <c r="V1" s="774" t="s">
        <v>1226</v>
      </c>
      <c r="W1" s="774" t="s">
        <v>1225</v>
      </c>
      <c r="X1" s="774" t="s">
        <v>1098</v>
      </c>
      <c r="Y1" s="774" t="s">
        <v>19</v>
      </c>
      <c r="Z1" s="734" t="s">
        <v>1102</v>
      </c>
      <c r="AA1" s="744" t="s">
        <v>1102</v>
      </c>
      <c r="AB1" s="747" t="s">
        <v>1132</v>
      </c>
    </row>
    <row r="2" spans="1:29" s="107" customFormat="1" ht="15" x14ac:dyDescent="0.25">
      <c r="A2" s="730"/>
      <c r="B2" s="696" t="s">
        <v>1198</v>
      </c>
      <c r="C2" s="696" t="s">
        <v>61</v>
      </c>
      <c r="D2" s="697" t="s">
        <v>1030</v>
      </c>
      <c r="E2" s="728" t="s">
        <v>1030</v>
      </c>
      <c r="F2" s="728" t="s">
        <v>1030</v>
      </c>
      <c r="G2" s="728" t="s">
        <v>1030</v>
      </c>
      <c r="H2" s="697" t="s">
        <v>1030</v>
      </c>
      <c r="I2" s="728" t="s">
        <v>1030</v>
      </c>
      <c r="J2" s="728" t="s">
        <v>1030</v>
      </c>
      <c r="K2" s="735" t="s">
        <v>1030</v>
      </c>
      <c r="L2" s="735" t="s">
        <v>1030</v>
      </c>
      <c r="M2" s="735" t="s">
        <v>1030</v>
      </c>
      <c r="N2" s="735" t="s">
        <v>1049</v>
      </c>
      <c r="O2" s="735" t="s">
        <v>1054</v>
      </c>
      <c r="P2" s="735" t="s">
        <v>845</v>
      </c>
      <c r="Q2" s="735" t="s">
        <v>1052</v>
      </c>
      <c r="R2" s="735" t="s">
        <v>1059</v>
      </c>
      <c r="S2" s="735"/>
      <c r="T2" s="735" t="s">
        <v>1096</v>
      </c>
      <c r="U2" s="745" t="s">
        <v>1063</v>
      </c>
      <c r="V2" s="775" t="s">
        <v>1063</v>
      </c>
      <c r="W2" s="775" t="s">
        <v>1063</v>
      </c>
      <c r="X2" s="775" t="s">
        <v>1063</v>
      </c>
      <c r="Y2" s="775"/>
      <c r="Z2" s="735" t="s">
        <v>1103</v>
      </c>
      <c r="AA2" s="745" t="s">
        <v>1103</v>
      </c>
      <c r="AB2" s="747" t="s">
        <v>1133</v>
      </c>
    </row>
    <row r="3" spans="1:29" ht="12.75" customHeight="1" x14ac:dyDescent="0.2">
      <c r="A3" s="717"/>
      <c r="B3" s="717"/>
      <c r="C3" s="717"/>
      <c r="D3" s="717" t="s">
        <v>371</v>
      </c>
      <c r="E3" s="717" t="s">
        <v>371</v>
      </c>
      <c r="F3" s="717" t="s">
        <v>371</v>
      </c>
      <c r="G3" s="717" t="s">
        <v>371</v>
      </c>
      <c r="H3" s="717" t="s">
        <v>371</v>
      </c>
      <c r="I3" s="717" t="s">
        <v>371</v>
      </c>
      <c r="J3" s="717" t="s">
        <v>371</v>
      </c>
      <c r="K3" s="736" t="s">
        <v>371</v>
      </c>
      <c r="L3" s="736" t="s">
        <v>371</v>
      </c>
      <c r="M3" s="736" t="s">
        <v>371</v>
      </c>
      <c r="N3" s="736" t="s">
        <v>371</v>
      </c>
      <c r="O3" s="736" t="s">
        <v>371</v>
      </c>
      <c r="P3" s="736" t="s">
        <v>371</v>
      </c>
      <c r="Q3" s="736" t="s">
        <v>371</v>
      </c>
      <c r="R3" s="736" t="s">
        <v>1060</v>
      </c>
      <c r="S3" s="736" t="s">
        <v>371</v>
      </c>
      <c r="T3" s="736" t="s">
        <v>1062</v>
      </c>
      <c r="U3" s="746" t="s">
        <v>1092</v>
      </c>
      <c r="V3" s="783" t="s">
        <v>1227</v>
      </c>
      <c r="W3" s="776" t="s">
        <v>1092</v>
      </c>
      <c r="X3" s="776" t="s">
        <v>1092</v>
      </c>
      <c r="Y3" s="776" t="s">
        <v>1092</v>
      </c>
      <c r="Z3" s="736" t="s">
        <v>371</v>
      </c>
      <c r="AA3" s="746" t="s">
        <v>1092</v>
      </c>
      <c r="AB3" s="747" t="s">
        <v>1134</v>
      </c>
    </row>
    <row r="4" spans="1:29" ht="12.75" customHeight="1" x14ac:dyDescent="0.2">
      <c r="A4" s="702" t="s">
        <v>1006</v>
      </c>
      <c r="B4" s="702"/>
      <c r="C4" s="702"/>
      <c r="D4" s="703" t="s">
        <v>1037</v>
      </c>
      <c r="E4" s="703" t="s">
        <v>1038</v>
      </c>
      <c r="F4" s="703" t="s">
        <v>1039</v>
      </c>
      <c r="G4" s="703" t="s">
        <v>1040</v>
      </c>
      <c r="H4" s="703" t="s">
        <v>1041</v>
      </c>
      <c r="I4" s="703" t="s">
        <v>1042</v>
      </c>
      <c r="J4" s="703" t="s">
        <v>1043</v>
      </c>
      <c r="K4" s="737" t="s">
        <v>1222</v>
      </c>
      <c r="L4" s="737" t="s">
        <v>1224</v>
      </c>
      <c r="M4" s="737" t="s">
        <v>1050</v>
      </c>
      <c r="N4" s="737" t="s">
        <v>1050</v>
      </c>
      <c r="O4" s="737" t="s">
        <v>1056</v>
      </c>
      <c r="P4" s="737" t="s">
        <v>1057</v>
      </c>
      <c r="Q4" s="737" t="s">
        <v>1045</v>
      </c>
      <c r="R4" s="737" t="s">
        <v>1057</v>
      </c>
      <c r="S4" s="737" t="s">
        <v>1061</v>
      </c>
      <c r="T4" s="737" t="s">
        <v>1095</v>
      </c>
      <c r="U4" s="747" t="s">
        <v>1065</v>
      </c>
      <c r="V4" s="777" t="s">
        <v>1228</v>
      </c>
      <c r="W4" s="777" t="s">
        <v>1189</v>
      </c>
      <c r="X4" s="777" t="s">
        <v>1099</v>
      </c>
      <c r="Y4" s="777" t="s">
        <v>1100</v>
      </c>
      <c r="Z4" s="737" t="s">
        <v>61</v>
      </c>
      <c r="AA4" s="747" t="s">
        <v>61</v>
      </c>
      <c r="AB4" s="747"/>
    </row>
    <row r="5" spans="1:29" s="395" customFormat="1" ht="12.75" customHeight="1" x14ac:dyDescent="0.2">
      <c r="A5" s="732"/>
      <c r="B5" s="732"/>
      <c r="C5" s="732"/>
      <c r="D5" s="733"/>
      <c r="E5" s="733"/>
      <c r="F5" s="733"/>
      <c r="G5" s="733"/>
      <c r="H5" s="733"/>
      <c r="I5" s="733"/>
      <c r="J5" s="733"/>
      <c r="K5" s="738" t="s">
        <v>1223</v>
      </c>
      <c r="L5" s="738" t="s">
        <v>1223</v>
      </c>
      <c r="M5" s="738" t="s">
        <v>1051</v>
      </c>
      <c r="N5" s="738" t="s">
        <v>1051</v>
      </c>
      <c r="O5" s="738"/>
      <c r="P5" s="738"/>
      <c r="Q5" s="738" t="s">
        <v>1046</v>
      </c>
      <c r="R5" s="738"/>
      <c r="S5" s="738"/>
      <c r="T5" s="738" t="s">
        <v>1188</v>
      </c>
      <c r="U5" s="748" t="s">
        <v>1064</v>
      </c>
      <c r="V5" s="778" t="s">
        <v>1229</v>
      </c>
      <c r="W5" s="778"/>
      <c r="X5" s="778"/>
      <c r="Y5" s="778" t="s">
        <v>1101</v>
      </c>
      <c r="Z5" s="738" t="s">
        <v>1104</v>
      </c>
      <c r="AA5" s="748" t="s">
        <v>1104</v>
      </c>
      <c r="AB5" s="748"/>
    </row>
    <row r="6" spans="1:29" ht="12.75" customHeight="1" x14ac:dyDescent="0.2">
      <c r="A6" s="718" t="s">
        <v>1094</v>
      </c>
      <c r="B6" s="83"/>
      <c r="C6" s="83"/>
      <c r="D6" s="630" t="s">
        <v>1093</v>
      </c>
      <c r="E6" s="630" t="s">
        <v>1093</v>
      </c>
      <c r="F6" s="630" t="s">
        <v>1093</v>
      </c>
      <c r="G6" s="630" t="s">
        <v>1093</v>
      </c>
      <c r="H6" s="630" t="s">
        <v>1093</v>
      </c>
      <c r="I6" s="630" t="s">
        <v>1093</v>
      </c>
      <c r="J6" s="630" t="s">
        <v>1093</v>
      </c>
      <c r="K6" s="739"/>
      <c r="L6" s="739"/>
      <c r="M6" s="739"/>
      <c r="N6" s="739"/>
      <c r="O6" s="739"/>
      <c r="P6" s="739"/>
      <c r="Q6" s="739"/>
      <c r="R6" s="739"/>
      <c r="S6" s="739"/>
      <c r="T6" s="739"/>
      <c r="U6" s="749" t="s">
        <v>1106</v>
      </c>
      <c r="V6" s="784"/>
      <c r="W6" s="779"/>
      <c r="X6" s="779"/>
      <c r="Y6" s="779"/>
      <c r="Z6" s="873" t="s">
        <v>1230</v>
      </c>
      <c r="AA6" s="874"/>
      <c r="AB6" s="748"/>
    </row>
    <row r="7" spans="1:29" ht="15" x14ac:dyDescent="0.25">
      <c r="A7" s="707" t="s">
        <v>980</v>
      </c>
      <c r="B7" s="707"/>
      <c r="C7" s="707"/>
      <c r="D7" s="708"/>
      <c r="E7" s="708"/>
      <c r="F7" s="708"/>
      <c r="G7" s="708"/>
      <c r="H7" s="708"/>
      <c r="I7" s="708"/>
      <c r="J7" s="708"/>
      <c r="K7" s="740"/>
      <c r="L7" s="740"/>
      <c r="M7" s="740"/>
      <c r="N7" s="740"/>
      <c r="O7" s="740"/>
      <c r="P7" s="740"/>
      <c r="Q7" s="740"/>
      <c r="R7" s="740"/>
      <c r="S7" s="740"/>
      <c r="T7" s="740"/>
      <c r="U7" s="750"/>
      <c r="V7" s="785"/>
      <c r="W7" s="780"/>
      <c r="X7" s="780"/>
      <c r="Y7" s="780"/>
      <c r="Z7" s="740"/>
      <c r="AA7" s="750"/>
      <c r="AB7" s="748"/>
    </row>
    <row r="8" spans="1:29" ht="12.75" customHeight="1" x14ac:dyDescent="0.2">
      <c r="A8" s="871" t="s">
        <v>1105</v>
      </c>
      <c r="B8" s="704" t="s">
        <v>987</v>
      </c>
      <c r="C8" s="705">
        <f>'5-Enrollment Projection'!E16</f>
        <v>209</v>
      </c>
      <c r="D8" s="731">
        <v>2</v>
      </c>
      <c r="E8" s="731">
        <v>2</v>
      </c>
      <c r="F8" s="731">
        <v>2</v>
      </c>
      <c r="G8" s="731">
        <v>2</v>
      </c>
      <c r="H8" s="731">
        <v>2</v>
      </c>
      <c r="I8" s="731">
        <v>2</v>
      </c>
      <c r="J8" s="731">
        <v>2</v>
      </c>
      <c r="K8" s="741">
        <v>2.8</v>
      </c>
      <c r="L8" s="741">
        <v>0.5</v>
      </c>
      <c r="M8" s="741">
        <v>0.5</v>
      </c>
      <c r="N8" s="741">
        <v>0.5</v>
      </c>
      <c r="O8" s="741">
        <v>1</v>
      </c>
      <c r="P8" s="741">
        <v>1</v>
      </c>
      <c r="Q8" s="741">
        <v>0.9</v>
      </c>
      <c r="R8" s="741">
        <v>1</v>
      </c>
      <c r="S8" s="741">
        <v>0.5</v>
      </c>
      <c r="T8" s="741">
        <v>2</v>
      </c>
      <c r="U8" s="751">
        <v>2.25</v>
      </c>
      <c r="V8" s="786">
        <v>1.55</v>
      </c>
      <c r="W8" s="781">
        <v>1.55</v>
      </c>
      <c r="X8" s="781">
        <v>0.8</v>
      </c>
      <c r="Y8" s="781">
        <v>3</v>
      </c>
      <c r="Z8" s="741">
        <v>2.6</v>
      </c>
      <c r="AA8" s="751">
        <v>2.75</v>
      </c>
      <c r="AB8" s="789">
        <f t="shared" ref="AB8:AB21" si="0">SUM(D8:AA8)</f>
        <v>39.200000000000003</v>
      </c>
    </row>
    <row r="9" spans="1:29" ht="12.75" customHeight="1" x14ac:dyDescent="0.2">
      <c r="A9" s="871" t="s">
        <v>42</v>
      </c>
      <c r="B9" s="704" t="s">
        <v>987</v>
      </c>
      <c r="C9" s="705">
        <f>'5-Enrollment Projection'!E23</f>
        <v>309</v>
      </c>
      <c r="D9" s="731">
        <v>3</v>
      </c>
      <c r="E9" s="731">
        <v>3</v>
      </c>
      <c r="F9" s="731">
        <v>2</v>
      </c>
      <c r="G9" s="731">
        <v>2</v>
      </c>
      <c r="H9" s="731">
        <v>1</v>
      </c>
      <c r="I9" s="731">
        <v>2</v>
      </c>
      <c r="J9" s="731">
        <v>2</v>
      </c>
      <c r="K9" s="741">
        <v>2.7</v>
      </c>
      <c r="L9" s="741">
        <v>1</v>
      </c>
      <c r="M9" s="741">
        <v>0.4</v>
      </c>
      <c r="N9" s="741">
        <v>0.5</v>
      </c>
      <c r="O9" s="741">
        <v>1</v>
      </c>
      <c r="P9" s="741">
        <v>1</v>
      </c>
      <c r="Q9" s="741">
        <v>0.9</v>
      </c>
      <c r="R9" s="741">
        <v>1</v>
      </c>
      <c r="S9" s="741">
        <v>0.9</v>
      </c>
      <c r="T9" s="741">
        <v>2</v>
      </c>
      <c r="U9" s="751">
        <v>1.75</v>
      </c>
      <c r="V9" s="786">
        <v>1.875</v>
      </c>
      <c r="W9" s="781">
        <v>1.875</v>
      </c>
      <c r="X9" s="781">
        <v>0.875</v>
      </c>
      <c r="Y9" s="781">
        <v>2</v>
      </c>
      <c r="Z9" s="741">
        <v>2.4</v>
      </c>
      <c r="AA9" s="751">
        <v>2.625</v>
      </c>
      <c r="AB9" s="789">
        <f t="shared" si="0"/>
        <v>39.79999999999999</v>
      </c>
      <c r="AC9" s="395"/>
    </row>
    <row r="10" spans="1:29" ht="12.75" customHeight="1" x14ac:dyDescent="0.2">
      <c r="A10" s="871" t="s">
        <v>39</v>
      </c>
      <c r="B10" s="704" t="s">
        <v>987</v>
      </c>
      <c r="C10" s="705">
        <f>'5-Enrollment Projection'!E19</f>
        <v>259</v>
      </c>
      <c r="D10" s="731">
        <v>2</v>
      </c>
      <c r="E10" s="731">
        <v>2</v>
      </c>
      <c r="F10" s="731">
        <v>2</v>
      </c>
      <c r="G10" s="731">
        <v>2</v>
      </c>
      <c r="H10" s="731">
        <v>2</v>
      </c>
      <c r="I10" s="731">
        <v>2</v>
      </c>
      <c r="J10" s="731">
        <v>2</v>
      </c>
      <c r="K10" s="741">
        <v>2.7</v>
      </c>
      <c r="L10" s="741">
        <v>1</v>
      </c>
      <c r="M10" s="741">
        <v>0.5</v>
      </c>
      <c r="N10" s="741">
        <v>0.4</v>
      </c>
      <c r="O10" s="741">
        <v>1</v>
      </c>
      <c r="P10" s="741">
        <v>1</v>
      </c>
      <c r="Q10" s="741">
        <v>0.9</v>
      </c>
      <c r="R10" s="741">
        <v>1</v>
      </c>
      <c r="S10" s="741">
        <v>1</v>
      </c>
      <c r="T10" s="741">
        <v>2</v>
      </c>
      <c r="U10" s="751">
        <v>2.25</v>
      </c>
      <c r="V10" s="786">
        <v>1.85</v>
      </c>
      <c r="W10" s="781">
        <v>1.875</v>
      </c>
      <c r="X10" s="781">
        <v>0.875</v>
      </c>
      <c r="Y10" s="781">
        <v>2.5</v>
      </c>
      <c r="Z10" s="741">
        <v>2.5</v>
      </c>
      <c r="AA10" s="751">
        <v>5.3125</v>
      </c>
      <c r="AB10" s="789">
        <f t="shared" si="0"/>
        <v>42.662499999999994</v>
      </c>
      <c r="AC10" s="395"/>
    </row>
    <row r="11" spans="1:29" ht="12.75" customHeight="1" x14ac:dyDescent="0.2">
      <c r="A11" s="871" t="s">
        <v>818</v>
      </c>
      <c r="B11" s="704" t="s">
        <v>988</v>
      </c>
      <c r="C11" s="705">
        <f>'5-Enrollment Projection'!E25</f>
        <v>406</v>
      </c>
      <c r="D11" s="731">
        <v>3</v>
      </c>
      <c r="E11" s="731">
        <v>3</v>
      </c>
      <c r="F11" s="731">
        <v>3</v>
      </c>
      <c r="G11" s="731">
        <v>3</v>
      </c>
      <c r="H11" s="731">
        <v>3</v>
      </c>
      <c r="I11" s="731">
        <v>3</v>
      </c>
      <c r="J11" s="731">
        <v>1</v>
      </c>
      <c r="K11" s="741">
        <v>3</v>
      </c>
      <c r="L11" s="741">
        <v>1</v>
      </c>
      <c r="M11" s="741">
        <v>0.5</v>
      </c>
      <c r="N11" s="741">
        <v>0.5</v>
      </c>
      <c r="O11" s="741">
        <v>1</v>
      </c>
      <c r="P11" s="741">
        <v>0.75</v>
      </c>
      <c r="Q11" s="741">
        <v>1</v>
      </c>
      <c r="R11" s="741">
        <v>1</v>
      </c>
      <c r="S11" s="741">
        <v>1</v>
      </c>
      <c r="T11" s="741">
        <v>3</v>
      </c>
      <c r="U11" s="751">
        <v>3.125</v>
      </c>
      <c r="V11" s="786">
        <v>0</v>
      </c>
      <c r="W11" s="781">
        <v>1.875</v>
      </c>
      <c r="X11" s="781">
        <v>0.875</v>
      </c>
      <c r="Y11" s="781">
        <v>3</v>
      </c>
      <c r="Z11" s="741">
        <v>3.7</v>
      </c>
      <c r="AA11" s="751">
        <v>3.5</v>
      </c>
      <c r="AB11" s="789">
        <f t="shared" si="0"/>
        <v>47.825000000000003</v>
      </c>
      <c r="AC11" s="395"/>
    </row>
    <row r="12" spans="1:29" ht="12.75" customHeight="1" x14ac:dyDescent="0.2">
      <c r="A12" s="871" t="s">
        <v>45</v>
      </c>
      <c r="B12" s="704" t="s">
        <v>987</v>
      </c>
      <c r="C12" s="705">
        <f>'5-Enrollment Projection'!E27</f>
        <v>314</v>
      </c>
      <c r="D12" s="731">
        <v>2</v>
      </c>
      <c r="E12" s="731">
        <v>3</v>
      </c>
      <c r="F12" s="731">
        <v>3</v>
      </c>
      <c r="G12" s="731">
        <v>2</v>
      </c>
      <c r="H12" s="731">
        <v>2</v>
      </c>
      <c r="I12" s="731">
        <v>2</v>
      </c>
      <c r="J12" s="731">
        <v>2</v>
      </c>
      <c r="K12" s="741">
        <v>3</v>
      </c>
      <c r="L12" s="741">
        <v>1</v>
      </c>
      <c r="M12" s="741">
        <v>0.5</v>
      </c>
      <c r="N12" s="741">
        <v>0.5</v>
      </c>
      <c r="O12" s="741">
        <v>1</v>
      </c>
      <c r="P12" s="741">
        <v>1</v>
      </c>
      <c r="Q12" s="741">
        <v>1</v>
      </c>
      <c r="R12" s="741">
        <v>1</v>
      </c>
      <c r="S12" s="741">
        <v>1</v>
      </c>
      <c r="T12" s="741">
        <v>2</v>
      </c>
      <c r="U12" s="751">
        <v>2.75</v>
      </c>
      <c r="V12" s="786">
        <v>0</v>
      </c>
      <c r="W12" s="781">
        <v>1.875</v>
      </c>
      <c r="X12" s="781">
        <v>0.875</v>
      </c>
      <c r="Y12" s="781">
        <v>3</v>
      </c>
      <c r="Z12" s="741">
        <v>2.4</v>
      </c>
      <c r="AA12" s="751">
        <v>2.625</v>
      </c>
      <c r="AB12" s="789">
        <f t="shared" si="0"/>
        <v>41.524999999999999</v>
      </c>
      <c r="AC12" s="395"/>
    </row>
    <row r="13" spans="1:29" ht="12.75" customHeight="1" x14ac:dyDescent="0.2">
      <c r="A13" s="871" t="s">
        <v>43</v>
      </c>
      <c r="B13" s="704" t="s">
        <v>988</v>
      </c>
      <c r="C13" s="705">
        <f>'5-Enrollment Projection'!E24</f>
        <v>280</v>
      </c>
      <c r="D13" s="731">
        <v>2</v>
      </c>
      <c r="E13" s="731">
        <v>2</v>
      </c>
      <c r="F13" s="731">
        <v>2</v>
      </c>
      <c r="G13" s="731">
        <v>3</v>
      </c>
      <c r="H13" s="731">
        <v>2</v>
      </c>
      <c r="I13" s="731">
        <v>2</v>
      </c>
      <c r="J13" s="731">
        <v>2</v>
      </c>
      <c r="K13" s="741">
        <v>3</v>
      </c>
      <c r="L13" s="741">
        <v>0.8</v>
      </c>
      <c r="M13" s="741">
        <v>0.5</v>
      </c>
      <c r="N13" s="741">
        <v>0.5</v>
      </c>
      <c r="O13" s="741">
        <v>1</v>
      </c>
      <c r="P13" s="741">
        <v>1</v>
      </c>
      <c r="Q13" s="741">
        <v>1</v>
      </c>
      <c r="R13" s="741">
        <v>1</v>
      </c>
      <c r="S13" s="741">
        <v>1</v>
      </c>
      <c r="T13" s="741">
        <v>2</v>
      </c>
      <c r="U13" s="751">
        <v>2.625</v>
      </c>
      <c r="V13" s="786">
        <v>0</v>
      </c>
      <c r="W13" s="781">
        <v>1.875</v>
      </c>
      <c r="X13" s="781">
        <v>0.875</v>
      </c>
      <c r="Y13" s="781">
        <v>3</v>
      </c>
      <c r="Z13" s="741">
        <v>3.5</v>
      </c>
      <c r="AA13" s="751">
        <v>4.375</v>
      </c>
      <c r="AB13" s="789">
        <f t="shared" si="0"/>
        <v>43.05</v>
      </c>
      <c r="AC13" s="395"/>
    </row>
    <row r="14" spans="1:29" ht="12.75" customHeight="1" x14ac:dyDescent="0.2">
      <c r="A14" s="871" t="s">
        <v>40</v>
      </c>
      <c r="B14" s="704" t="s">
        <v>988</v>
      </c>
      <c r="C14" s="705">
        <f>'5-Enrollment Projection'!E20</f>
        <v>333</v>
      </c>
      <c r="D14" s="731">
        <v>2</v>
      </c>
      <c r="E14" s="731">
        <v>2</v>
      </c>
      <c r="F14" s="731">
        <v>2</v>
      </c>
      <c r="G14" s="731">
        <v>2</v>
      </c>
      <c r="H14" s="731">
        <v>2</v>
      </c>
      <c r="I14" s="731">
        <v>3</v>
      </c>
      <c r="J14" s="731">
        <v>3</v>
      </c>
      <c r="K14" s="741">
        <v>3</v>
      </c>
      <c r="L14" s="741">
        <v>1</v>
      </c>
      <c r="M14" s="741">
        <v>0.5</v>
      </c>
      <c r="N14" s="741">
        <v>0.5</v>
      </c>
      <c r="O14" s="741">
        <v>1</v>
      </c>
      <c r="P14" s="741">
        <v>1</v>
      </c>
      <c r="Q14" s="741">
        <v>1</v>
      </c>
      <c r="R14" s="741">
        <v>1</v>
      </c>
      <c r="S14" s="741">
        <v>1</v>
      </c>
      <c r="T14" s="741">
        <v>2</v>
      </c>
      <c r="U14" s="751">
        <v>2.4375</v>
      </c>
      <c r="V14" s="786">
        <v>0</v>
      </c>
      <c r="W14" s="781">
        <v>1.875</v>
      </c>
      <c r="X14" s="781">
        <v>0.875</v>
      </c>
      <c r="Y14" s="781">
        <v>3</v>
      </c>
      <c r="Z14" s="741">
        <v>5.0999999999999996</v>
      </c>
      <c r="AA14" s="751">
        <v>10.0625</v>
      </c>
      <c r="AB14" s="789">
        <f t="shared" si="0"/>
        <v>51.35</v>
      </c>
      <c r="AC14" s="395"/>
    </row>
    <row r="15" spans="1:29" ht="12.75" customHeight="1" x14ac:dyDescent="0.2">
      <c r="A15" s="871" t="s">
        <v>667</v>
      </c>
      <c r="B15" s="704" t="s">
        <v>988</v>
      </c>
      <c r="C15" s="705">
        <f>'5-Enrollment Projection'!E21</f>
        <v>350</v>
      </c>
      <c r="D15" s="731">
        <v>2</v>
      </c>
      <c r="E15" s="731">
        <v>2</v>
      </c>
      <c r="F15" s="731">
        <v>3</v>
      </c>
      <c r="G15" s="731">
        <v>3</v>
      </c>
      <c r="H15" s="731">
        <v>3</v>
      </c>
      <c r="I15" s="731">
        <v>3</v>
      </c>
      <c r="J15" s="731">
        <v>3</v>
      </c>
      <c r="K15" s="741">
        <v>3</v>
      </c>
      <c r="L15" s="741">
        <v>1</v>
      </c>
      <c r="M15" s="741">
        <v>0.5</v>
      </c>
      <c r="N15" s="741">
        <v>0.5</v>
      </c>
      <c r="O15" s="741">
        <v>1</v>
      </c>
      <c r="P15" s="741">
        <v>1</v>
      </c>
      <c r="Q15" s="741">
        <v>1</v>
      </c>
      <c r="R15" s="741">
        <v>1</v>
      </c>
      <c r="S15" s="741">
        <v>1</v>
      </c>
      <c r="T15" s="741">
        <v>2</v>
      </c>
      <c r="U15" s="751">
        <v>2.625</v>
      </c>
      <c r="V15" s="786">
        <v>0</v>
      </c>
      <c r="W15" s="781">
        <v>1.9375</v>
      </c>
      <c r="X15" s="781">
        <v>0.8125</v>
      </c>
      <c r="Y15" s="781">
        <v>3</v>
      </c>
      <c r="Z15" s="741">
        <v>5.8</v>
      </c>
      <c r="AA15" s="751">
        <v>9.1875</v>
      </c>
      <c r="AB15" s="789">
        <f t="shared" si="0"/>
        <v>54.362499999999997</v>
      </c>
      <c r="AC15" s="395"/>
    </row>
    <row r="16" spans="1:29" ht="12.75" customHeight="1" x14ac:dyDescent="0.2">
      <c r="A16" s="871" t="s">
        <v>44</v>
      </c>
      <c r="B16" s="704" t="s">
        <v>987</v>
      </c>
      <c r="C16" s="705">
        <f>'5-Enrollment Projection'!E26</f>
        <v>348</v>
      </c>
      <c r="D16" s="731">
        <v>3</v>
      </c>
      <c r="E16" s="731">
        <v>3</v>
      </c>
      <c r="F16" s="731">
        <v>3</v>
      </c>
      <c r="G16" s="731">
        <v>3</v>
      </c>
      <c r="H16" s="731">
        <v>3</v>
      </c>
      <c r="I16" s="731">
        <v>2</v>
      </c>
      <c r="J16" s="731">
        <v>2</v>
      </c>
      <c r="K16" s="741">
        <v>3</v>
      </c>
      <c r="L16" s="741">
        <v>1</v>
      </c>
      <c r="M16" s="741">
        <v>0.5</v>
      </c>
      <c r="N16" s="741">
        <v>0.5</v>
      </c>
      <c r="O16" s="741">
        <v>1</v>
      </c>
      <c r="P16" s="741">
        <v>1</v>
      </c>
      <c r="Q16" s="741">
        <v>1</v>
      </c>
      <c r="R16" s="741">
        <v>1</v>
      </c>
      <c r="S16" s="741">
        <v>1</v>
      </c>
      <c r="T16" s="741">
        <v>2</v>
      </c>
      <c r="U16" s="751">
        <v>3.25</v>
      </c>
      <c r="V16" s="786">
        <v>0</v>
      </c>
      <c r="W16" s="781">
        <v>1.75</v>
      </c>
      <c r="X16" s="781">
        <v>0.875</v>
      </c>
      <c r="Y16" s="781">
        <v>3</v>
      </c>
      <c r="Z16" s="741">
        <v>3.9</v>
      </c>
      <c r="AA16" s="751">
        <v>3.5</v>
      </c>
      <c r="AB16" s="789">
        <f t="shared" si="0"/>
        <v>47.274999999999999</v>
      </c>
      <c r="AC16" s="395"/>
    </row>
    <row r="17" spans="1:29" ht="12.75" customHeight="1" x14ac:dyDescent="0.2">
      <c r="A17" s="871" t="s">
        <v>35</v>
      </c>
      <c r="B17" s="704" t="s">
        <v>988</v>
      </c>
      <c r="C17" s="705">
        <f>'5-Enrollment Projection'!E15</f>
        <v>372</v>
      </c>
      <c r="D17" s="731">
        <v>3</v>
      </c>
      <c r="E17" s="731">
        <v>3</v>
      </c>
      <c r="F17" s="731">
        <v>3</v>
      </c>
      <c r="G17" s="731">
        <v>3</v>
      </c>
      <c r="H17" s="731">
        <v>3</v>
      </c>
      <c r="I17" s="731">
        <v>3</v>
      </c>
      <c r="J17" s="731">
        <v>3</v>
      </c>
      <c r="K17" s="741">
        <v>3</v>
      </c>
      <c r="L17" s="741">
        <v>1</v>
      </c>
      <c r="M17" s="741">
        <v>0.5</v>
      </c>
      <c r="N17" s="741">
        <v>0.5</v>
      </c>
      <c r="O17" s="741">
        <v>1</v>
      </c>
      <c r="P17" s="741">
        <v>1</v>
      </c>
      <c r="Q17" s="741">
        <v>1</v>
      </c>
      <c r="R17" s="741">
        <v>1</v>
      </c>
      <c r="S17" s="741">
        <v>1</v>
      </c>
      <c r="T17" s="741">
        <v>3</v>
      </c>
      <c r="U17" s="751">
        <v>3.375</v>
      </c>
      <c r="V17" s="786">
        <v>0</v>
      </c>
      <c r="W17" s="781">
        <v>1.875</v>
      </c>
      <c r="X17" s="781">
        <v>0.875</v>
      </c>
      <c r="Y17" s="781">
        <v>3</v>
      </c>
      <c r="Z17" s="741">
        <v>6.5</v>
      </c>
      <c r="AA17" s="751">
        <v>10.0625</v>
      </c>
      <c r="AB17" s="789">
        <f t="shared" si="0"/>
        <v>59.6875</v>
      </c>
      <c r="AC17" s="395"/>
    </row>
    <row r="18" spans="1:29" ht="12.75" customHeight="1" x14ac:dyDescent="0.2">
      <c r="A18" s="871" t="s">
        <v>37</v>
      </c>
      <c r="B18" s="704" t="s">
        <v>987</v>
      </c>
      <c r="C18" s="705">
        <f>'5-Enrollment Projection'!E17</f>
        <v>408</v>
      </c>
      <c r="D18" s="731">
        <v>3</v>
      </c>
      <c r="E18" s="731">
        <v>3</v>
      </c>
      <c r="F18" s="731">
        <v>3</v>
      </c>
      <c r="G18" s="731">
        <v>3</v>
      </c>
      <c r="H18" s="731">
        <v>3</v>
      </c>
      <c r="I18" s="731">
        <v>3</v>
      </c>
      <c r="J18" s="731">
        <v>3</v>
      </c>
      <c r="K18" s="741">
        <v>3</v>
      </c>
      <c r="L18" s="741">
        <v>1</v>
      </c>
      <c r="M18" s="741">
        <v>0.8</v>
      </c>
      <c r="N18" s="741">
        <v>0.5</v>
      </c>
      <c r="O18" s="741">
        <v>1</v>
      </c>
      <c r="P18" s="741">
        <v>1</v>
      </c>
      <c r="Q18" s="741">
        <v>1</v>
      </c>
      <c r="R18" s="741">
        <v>1</v>
      </c>
      <c r="S18" s="741">
        <v>1</v>
      </c>
      <c r="T18" s="741">
        <v>3</v>
      </c>
      <c r="U18" s="751">
        <v>3.375</v>
      </c>
      <c r="V18" s="786">
        <v>2.78</v>
      </c>
      <c r="W18" s="781">
        <v>1.875</v>
      </c>
      <c r="X18" s="781">
        <v>0.875</v>
      </c>
      <c r="Y18" s="781">
        <v>3</v>
      </c>
      <c r="Z18" s="741">
        <v>7</v>
      </c>
      <c r="AA18" s="751">
        <v>19.190000000000001</v>
      </c>
      <c r="AB18" s="789">
        <f t="shared" si="0"/>
        <v>72.394999999999996</v>
      </c>
      <c r="AC18" s="395"/>
    </row>
    <row r="19" spans="1:29" ht="12.75" customHeight="1" x14ac:dyDescent="0.2">
      <c r="A19" s="871" t="s">
        <v>41</v>
      </c>
      <c r="B19" s="704" t="s">
        <v>988</v>
      </c>
      <c r="C19" s="705">
        <f>'5-Enrollment Projection'!E22</f>
        <v>410</v>
      </c>
      <c r="D19" s="731">
        <v>3</v>
      </c>
      <c r="E19" s="731">
        <v>2</v>
      </c>
      <c r="F19" s="731">
        <v>2</v>
      </c>
      <c r="G19" s="731">
        <v>3</v>
      </c>
      <c r="H19" s="731">
        <v>2</v>
      </c>
      <c r="I19" s="731">
        <v>3</v>
      </c>
      <c r="J19" s="731">
        <v>3</v>
      </c>
      <c r="K19" s="741">
        <v>3</v>
      </c>
      <c r="L19" s="741">
        <v>1</v>
      </c>
      <c r="M19" s="741">
        <v>0.5</v>
      </c>
      <c r="N19" s="741">
        <v>0.6</v>
      </c>
      <c r="O19" s="741">
        <v>1</v>
      </c>
      <c r="P19" s="741">
        <v>1</v>
      </c>
      <c r="Q19" s="741">
        <v>1</v>
      </c>
      <c r="R19" s="741">
        <v>1</v>
      </c>
      <c r="S19" s="741">
        <v>1</v>
      </c>
      <c r="T19" s="741">
        <v>3</v>
      </c>
      <c r="U19" s="751">
        <v>2.375</v>
      </c>
      <c r="V19" s="786">
        <v>0</v>
      </c>
      <c r="W19" s="781">
        <v>1.7749999999999999</v>
      </c>
      <c r="X19" s="781">
        <v>0.875</v>
      </c>
      <c r="Y19" s="781">
        <v>3</v>
      </c>
      <c r="Z19" s="741">
        <v>4.7</v>
      </c>
      <c r="AA19" s="751">
        <v>5.375</v>
      </c>
      <c r="AB19" s="789">
        <f t="shared" si="0"/>
        <v>49.2</v>
      </c>
      <c r="AC19" s="395"/>
    </row>
    <row r="20" spans="1:29" ht="12.75" customHeight="1" x14ac:dyDescent="0.2">
      <c r="A20" s="871" t="s">
        <v>693</v>
      </c>
      <c r="B20" s="704" t="s">
        <v>988</v>
      </c>
      <c r="C20" s="705">
        <f>'5-Enrollment Projection'!E14</f>
        <v>417</v>
      </c>
      <c r="D20" s="731">
        <v>3</v>
      </c>
      <c r="E20" s="731">
        <v>3</v>
      </c>
      <c r="F20" s="731">
        <v>3</v>
      </c>
      <c r="G20" s="731">
        <v>3</v>
      </c>
      <c r="H20" s="731">
        <v>3</v>
      </c>
      <c r="I20" s="731">
        <v>3</v>
      </c>
      <c r="J20" s="731">
        <v>3</v>
      </c>
      <c r="K20" s="741">
        <v>3</v>
      </c>
      <c r="L20" s="741">
        <v>1</v>
      </c>
      <c r="M20" s="741">
        <v>0.5</v>
      </c>
      <c r="N20" s="741">
        <v>0.5</v>
      </c>
      <c r="O20" s="741">
        <v>1</v>
      </c>
      <c r="P20" s="741">
        <v>1</v>
      </c>
      <c r="Q20" s="741">
        <v>1</v>
      </c>
      <c r="R20" s="741">
        <v>1</v>
      </c>
      <c r="S20" s="741">
        <v>1</v>
      </c>
      <c r="T20" s="741">
        <v>3</v>
      </c>
      <c r="U20" s="751">
        <v>3.37</v>
      </c>
      <c r="V20" s="786">
        <v>0</v>
      </c>
      <c r="W20" s="781">
        <v>1.875</v>
      </c>
      <c r="X20" s="781">
        <v>0.875</v>
      </c>
      <c r="Y20" s="781">
        <v>2</v>
      </c>
      <c r="Z20" s="741">
        <v>4</v>
      </c>
      <c r="AA20" s="751">
        <v>9.625</v>
      </c>
      <c r="AB20" s="789">
        <f t="shared" si="0"/>
        <v>55.744999999999997</v>
      </c>
      <c r="AC20" s="395"/>
    </row>
    <row r="21" spans="1:29" ht="12.75" customHeight="1" x14ac:dyDescent="0.2">
      <c r="A21" s="871" t="s">
        <v>38</v>
      </c>
      <c r="B21" s="704" t="s">
        <v>987</v>
      </c>
      <c r="C21" s="705">
        <f>'5-Enrollment Projection'!E18</f>
        <v>440</v>
      </c>
      <c r="D21" s="731">
        <v>3</v>
      </c>
      <c r="E21" s="731">
        <v>3</v>
      </c>
      <c r="F21" s="731">
        <v>3</v>
      </c>
      <c r="G21" s="731">
        <v>3</v>
      </c>
      <c r="H21" s="731">
        <v>3</v>
      </c>
      <c r="I21" s="731">
        <v>3</v>
      </c>
      <c r="J21" s="731">
        <v>3</v>
      </c>
      <c r="K21" s="741">
        <v>3</v>
      </c>
      <c r="L21" s="741">
        <v>1</v>
      </c>
      <c r="M21" s="741">
        <v>0.5</v>
      </c>
      <c r="N21" s="741">
        <v>0.5</v>
      </c>
      <c r="O21" s="741">
        <v>1</v>
      </c>
      <c r="P21" s="741">
        <v>1</v>
      </c>
      <c r="Q21" s="741">
        <v>1</v>
      </c>
      <c r="R21" s="741">
        <v>1</v>
      </c>
      <c r="S21" s="741">
        <v>1</v>
      </c>
      <c r="T21" s="741">
        <v>3</v>
      </c>
      <c r="U21" s="751">
        <v>3.5</v>
      </c>
      <c r="V21" s="786">
        <v>0</v>
      </c>
      <c r="W21" s="781">
        <v>0.9375</v>
      </c>
      <c r="X21" s="781">
        <v>0.9375</v>
      </c>
      <c r="Y21" s="781">
        <v>3</v>
      </c>
      <c r="Z21" s="741">
        <v>6.2</v>
      </c>
      <c r="AA21" s="751">
        <v>18.4375</v>
      </c>
      <c r="AB21" s="789">
        <f t="shared" si="0"/>
        <v>67.012500000000003</v>
      </c>
      <c r="AC21" s="395"/>
    </row>
    <row r="22" spans="1:29" ht="15" x14ac:dyDescent="0.25">
      <c r="A22" s="712" t="s">
        <v>989</v>
      </c>
      <c r="B22" s="713"/>
      <c r="C22" s="712">
        <f>SUM(C8:C21)</f>
        <v>4855</v>
      </c>
      <c r="D22" s="712">
        <f t="shared" ref="D22:AB22" si="1">SUM(D8:D21)</f>
        <v>36</v>
      </c>
      <c r="E22" s="712">
        <f t="shared" si="1"/>
        <v>36</v>
      </c>
      <c r="F22" s="712">
        <f t="shared" si="1"/>
        <v>36</v>
      </c>
      <c r="G22" s="712">
        <f t="shared" si="1"/>
        <v>37</v>
      </c>
      <c r="H22" s="712">
        <f t="shared" si="1"/>
        <v>34</v>
      </c>
      <c r="I22" s="712">
        <f t="shared" si="1"/>
        <v>36</v>
      </c>
      <c r="J22" s="712">
        <f t="shared" si="1"/>
        <v>34</v>
      </c>
      <c r="K22" s="712">
        <f t="shared" si="1"/>
        <v>41.2</v>
      </c>
      <c r="L22" s="712">
        <f t="shared" si="1"/>
        <v>13.3</v>
      </c>
      <c r="M22" s="712">
        <f t="shared" si="1"/>
        <v>7.2</v>
      </c>
      <c r="N22" s="712">
        <f t="shared" si="1"/>
        <v>7</v>
      </c>
      <c r="O22" s="712">
        <f t="shared" si="1"/>
        <v>14</v>
      </c>
      <c r="P22" s="712">
        <f t="shared" si="1"/>
        <v>13.75</v>
      </c>
      <c r="Q22" s="712">
        <f t="shared" si="1"/>
        <v>13.7</v>
      </c>
      <c r="R22" s="712">
        <f t="shared" si="1"/>
        <v>14</v>
      </c>
      <c r="S22" s="712">
        <f t="shared" si="1"/>
        <v>13.4</v>
      </c>
      <c r="T22" s="712">
        <f t="shared" si="1"/>
        <v>34</v>
      </c>
      <c r="U22" s="712">
        <f t="shared" si="1"/>
        <v>39.057499999999997</v>
      </c>
      <c r="V22" s="712">
        <f t="shared" si="1"/>
        <v>8.0549999999999997</v>
      </c>
      <c r="W22" s="712">
        <f t="shared" si="1"/>
        <v>24.824999999999999</v>
      </c>
      <c r="X22" s="712">
        <f t="shared" si="1"/>
        <v>12.175000000000001</v>
      </c>
      <c r="Y22" s="712">
        <f t="shared" si="1"/>
        <v>39.5</v>
      </c>
      <c r="Z22" s="712">
        <f t="shared" si="1"/>
        <v>60.300000000000011</v>
      </c>
      <c r="AA22" s="712">
        <f t="shared" si="1"/>
        <v>106.6275</v>
      </c>
      <c r="AB22" s="712">
        <f t="shared" si="1"/>
        <v>711.09000000000015</v>
      </c>
      <c r="AC22" s="395"/>
    </row>
    <row r="23" spans="1:29" ht="12.75" customHeight="1" x14ac:dyDescent="0.2">
      <c r="AC23" s="395"/>
    </row>
    <row r="24" spans="1:29" ht="12.75" customHeight="1" x14ac:dyDescent="0.2">
      <c r="U24" s="743"/>
      <c r="V24" s="743"/>
      <c r="W24" s="743"/>
      <c r="X24" s="743"/>
      <c r="Y24" s="743"/>
      <c r="Z24" s="401"/>
      <c r="AA24" s="743"/>
      <c r="AB24" s="743"/>
      <c r="AC24" s="743"/>
    </row>
    <row r="25" spans="1:29" ht="15" x14ac:dyDescent="0.25">
      <c r="A25" s="707" t="s">
        <v>1007</v>
      </c>
      <c r="B25" s="707"/>
      <c r="C25" s="707"/>
      <c r="D25" s="708" t="s">
        <v>1113</v>
      </c>
      <c r="E25" s="708" t="s">
        <v>1114</v>
      </c>
      <c r="F25" s="708" t="s">
        <v>1115</v>
      </c>
      <c r="G25" s="708" t="s">
        <v>1231</v>
      </c>
      <c r="H25" s="708" t="s">
        <v>1117</v>
      </c>
      <c r="I25" s="708" t="s">
        <v>1118</v>
      </c>
      <c r="J25" s="708" t="s">
        <v>1119</v>
      </c>
      <c r="K25" s="708" t="s">
        <v>1121</v>
      </c>
      <c r="L25" s="708" t="s">
        <v>1123</v>
      </c>
      <c r="M25" s="708" t="s">
        <v>1124</v>
      </c>
      <c r="N25" s="708" t="s">
        <v>1047</v>
      </c>
      <c r="O25" s="708" t="s">
        <v>1125</v>
      </c>
      <c r="P25" s="708" t="s">
        <v>1126</v>
      </c>
      <c r="Q25" s="708" t="s">
        <v>1127</v>
      </c>
      <c r="R25" s="708" t="s">
        <v>880</v>
      </c>
      <c r="S25" s="708" t="s">
        <v>844</v>
      </c>
      <c r="T25" s="708" t="s">
        <v>1190</v>
      </c>
      <c r="U25" s="708" t="s">
        <v>90</v>
      </c>
      <c r="V25" s="708" t="s">
        <v>165</v>
      </c>
      <c r="W25" s="708" t="s">
        <v>1129</v>
      </c>
      <c r="X25" s="708" t="s">
        <v>1055</v>
      </c>
      <c r="Y25" s="708" t="s">
        <v>19</v>
      </c>
      <c r="Z25" s="708" t="s">
        <v>1102</v>
      </c>
      <c r="AA25" s="708" t="s">
        <v>1102</v>
      </c>
      <c r="AB25" s="748" t="s">
        <v>1135</v>
      </c>
      <c r="AC25" s="743"/>
    </row>
    <row r="26" spans="1:29" s="395" customFormat="1" ht="15" x14ac:dyDescent="0.25">
      <c r="A26" s="707"/>
      <c r="B26" s="707"/>
      <c r="C26" s="707"/>
      <c r="D26" s="708" t="s">
        <v>1120</v>
      </c>
      <c r="E26" s="708" t="s">
        <v>1120</v>
      </c>
      <c r="F26" s="708" t="s">
        <v>1120</v>
      </c>
      <c r="G26" s="708" t="s">
        <v>1120</v>
      </c>
      <c r="H26" s="708" t="s">
        <v>1120</v>
      </c>
      <c r="I26" s="708" t="s">
        <v>1120</v>
      </c>
      <c r="J26" s="708" t="s">
        <v>1120</v>
      </c>
      <c r="K26" s="708" t="s">
        <v>1122</v>
      </c>
      <c r="L26" s="708" t="s">
        <v>1122</v>
      </c>
      <c r="M26" s="708" t="s">
        <v>1122</v>
      </c>
      <c r="N26" s="708" t="s">
        <v>1122</v>
      </c>
      <c r="O26" s="708" t="s">
        <v>1122</v>
      </c>
      <c r="P26" s="708" t="s">
        <v>1122</v>
      </c>
      <c r="Q26" s="708"/>
      <c r="R26" s="708"/>
      <c r="S26" s="708" t="s">
        <v>845</v>
      </c>
      <c r="T26" s="708" t="s">
        <v>785</v>
      </c>
      <c r="U26" s="708" t="s">
        <v>1052</v>
      </c>
      <c r="V26" s="708"/>
      <c r="W26" s="708"/>
      <c r="X26" s="708" t="s">
        <v>1131</v>
      </c>
      <c r="Y26" s="708"/>
      <c r="Z26" s="708" t="s">
        <v>1103</v>
      </c>
      <c r="AA26" s="708" t="s">
        <v>1103</v>
      </c>
      <c r="AB26" s="748" t="s">
        <v>1136</v>
      </c>
      <c r="AC26" s="743"/>
    </row>
    <row r="27" spans="1:29" s="395" customFormat="1" ht="12.75" customHeight="1" x14ac:dyDescent="0.2">
      <c r="A27" s="717"/>
      <c r="B27" s="717"/>
      <c r="C27" s="717"/>
      <c r="D27" s="717" t="s">
        <v>371</v>
      </c>
      <c r="E27" s="717" t="s">
        <v>371</v>
      </c>
      <c r="F27" s="717" t="s">
        <v>371</v>
      </c>
      <c r="G27" s="717" t="s">
        <v>371</v>
      </c>
      <c r="H27" s="717" t="s">
        <v>371</v>
      </c>
      <c r="I27" s="717" t="s">
        <v>371</v>
      </c>
      <c r="J27" s="717" t="s">
        <v>371</v>
      </c>
      <c r="K27" s="736" t="s">
        <v>371</v>
      </c>
      <c r="L27" s="736" t="s">
        <v>371</v>
      </c>
      <c r="M27" s="736" t="s">
        <v>371</v>
      </c>
      <c r="N27" s="736" t="s">
        <v>371</v>
      </c>
      <c r="O27" s="736" t="s">
        <v>371</v>
      </c>
      <c r="P27" s="736" t="s">
        <v>371</v>
      </c>
      <c r="Q27" s="736" t="s">
        <v>1128</v>
      </c>
      <c r="R27" s="717" t="s">
        <v>1128</v>
      </c>
      <c r="S27" s="717" t="s">
        <v>1128</v>
      </c>
      <c r="T27" s="717" t="s">
        <v>1128</v>
      </c>
      <c r="U27" s="717" t="s">
        <v>1130</v>
      </c>
      <c r="V27" s="717"/>
      <c r="W27" s="717" t="s">
        <v>1062</v>
      </c>
      <c r="X27" s="717" t="s">
        <v>1062</v>
      </c>
      <c r="Y27" s="717" t="s">
        <v>1062</v>
      </c>
      <c r="Z27" s="736" t="s">
        <v>371</v>
      </c>
      <c r="AA27" s="736" t="s">
        <v>1092</v>
      </c>
      <c r="AB27" s="748"/>
      <c r="AC27" s="743"/>
    </row>
    <row r="28" spans="1:29" s="743" customFormat="1" ht="12.75" customHeight="1" x14ac:dyDescent="0.2">
      <c r="A28" s="872" t="s">
        <v>47</v>
      </c>
      <c r="B28" s="787" t="s">
        <v>988</v>
      </c>
      <c r="C28" s="824">
        <f>'5-Enrollment Projection'!E31</f>
        <v>647</v>
      </c>
      <c r="D28" s="741">
        <v>5.5</v>
      </c>
      <c r="E28" s="741">
        <v>5</v>
      </c>
      <c r="F28" s="741">
        <v>6</v>
      </c>
      <c r="G28" s="741">
        <v>5.5</v>
      </c>
      <c r="H28" s="741">
        <v>5</v>
      </c>
      <c r="I28" s="741">
        <v>1.5</v>
      </c>
      <c r="J28" s="741">
        <v>2</v>
      </c>
      <c r="K28" s="741">
        <v>1.5</v>
      </c>
      <c r="L28" s="741">
        <v>1</v>
      </c>
      <c r="M28" s="741">
        <v>1</v>
      </c>
      <c r="N28" s="741">
        <v>0.5</v>
      </c>
      <c r="O28" s="741">
        <v>1</v>
      </c>
      <c r="P28" s="741">
        <v>1.5</v>
      </c>
      <c r="Q28" s="741">
        <v>2.5</v>
      </c>
      <c r="R28" s="741">
        <v>1</v>
      </c>
      <c r="S28" s="741">
        <v>1</v>
      </c>
      <c r="T28" s="741">
        <v>3</v>
      </c>
      <c r="U28" s="741">
        <v>2</v>
      </c>
      <c r="V28" s="741">
        <v>0</v>
      </c>
      <c r="W28" s="741">
        <v>6</v>
      </c>
      <c r="X28" s="741">
        <v>8</v>
      </c>
      <c r="Y28" s="741">
        <v>8</v>
      </c>
      <c r="Z28" s="741">
        <v>7.4</v>
      </c>
      <c r="AA28" s="741">
        <v>11</v>
      </c>
      <c r="AB28" s="789">
        <f>SUM(D28:AA28)</f>
        <v>86.9</v>
      </c>
    </row>
    <row r="29" spans="1:29" s="743" customFormat="1" ht="12.75" customHeight="1" x14ac:dyDescent="0.2">
      <c r="A29" s="872" t="s">
        <v>48</v>
      </c>
      <c r="B29" s="787" t="s">
        <v>988</v>
      </c>
      <c r="C29" s="824">
        <f>'5-Enrollment Projection'!E32</f>
        <v>663</v>
      </c>
      <c r="D29" s="741">
        <v>5.5</v>
      </c>
      <c r="E29" s="741">
        <v>5</v>
      </c>
      <c r="F29" s="741">
        <v>6</v>
      </c>
      <c r="G29" s="741">
        <v>5.5</v>
      </c>
      <c r="H29" s="741">
        <v>5</v>
      </c>
      <c r="I29" s="741">
        <v>1.5</v>
      </c>
      <c r="J29" s="741">
        <v>2</v>
      </c>
      <c r="K29" s="741">
        <v>1.5</v>
      </c>
      <c r="L29" s="741">
        <v>1</v>
      </c>
      <c r="M29" s="741">
        <v>1</v>
      </c>
      <c r="N29" s="741">
        <v>0.5</v>
      </c>
      <c r="O29" s="741">
        <v>1.5</v>
      </c>
      <c r="P29" s="741">
        <v>1.7186999999999999</v>
      </c>
      <c r="Q29" s="741">
        <v>2.5</v>
      </c>
      <c r="R29" s="741">
        <v>1</v>
      </c>
      <c r="S29" s="741">
        <v>1</v>
      </c>
      <c r="T29" s="741">
        <v>3</v>
      </c>
      <c r="U29" s="741">
        <v>2</v>
      </c>
      <c r="V29" s="741">
        <v>1.2749999999999999</v>
      </c>
      <c r="W29" s="741">
        <v>6</v>
      </c>
      <c r="X29" s="741">
        <v>5.6875</v>
      </c>
      <c r="Y29" s="741">
        <v>7</v>
      </c>
      <c r="Z29" s="741">
        <v>9.1</v>
      </c>
      <c r="AA29" s="741">
        <v>13.6875</v>
      </c>
      <c r="AB29" s="789">
        <f>SUM(D29:AA29)</f>
        <v>89.968699999999984</v>
      </c>
    </row>
    <row r="30" spans="1:29" s="743" customFormat="1" ht="15" x14ac:dyDescent="0.25">
      <c r="A30" s="742" t="s">
        <v>49</v>
      </c>
      <c r="B30" s="788"/>
      <c r="C30" s="825">
        <v>1327</v>
      </c>
      <c r="D30" s="742">
        <f>SUM(D28:D29)</f>
        <v>11</v>
      </c>
      <c r="E30" s="742">
        <f t="shared" ref="E30:AA30" si="2">SUM(E28:E29)</f>
        <v>10</v>
      </c>
      <c r="F30" s="742">
        <f t="shared" si="2"/>
        <v>12</v>
      </c>
      <c r="G30" s="742">
        <f t="shared" si="2"/>
        <v>11</v>
      </c>
      <c r="H30" s="742">
        <f t="shared" si="2"/>
        <v>10</v>
      </c>
      <c r="I30" s="742">
        <f t="shared" si="2"/>
        <v>3</v>
      </c>
      <c r="J30" s="742">
        <f t="shared" si="2"/>
        <v>4</v>
      </c>
      <c r="K30" s="742">
        <f t="shared" si="2"/>
        <v>3</v>
      </c>
      <c r="L30" s="742">
        <f t="shared" si="2"/>
        <v>2</v>
      </c>
      <c r="M30" s="742">
        <f t="shared" si="2"/>
        <v>2</v>
      </c>
      <c r="N30" s="742">
        <f t="shared" si="2"/>
        <v>1</v>
      </c>
      <c r="O30" s="742">
        <f t="shared" si="2"/>
        <v>2.5</v>
      </c>
      <c r="P30" s="742">
        <f t="shared" si="2"/>
        <v>3.2187000000000001</v>
      </c>
      <c r="Q30" s="742">
        <f t="shared" si="2"/>
        <v>5</v>
      </c>
      <c r="R30" s="742">
        <f t="shared" si="2"/>
        <v>2</v>
      </c>
      <c r="S30" s="742">
        <f t="shared" si="2"/>
        <v>2</v>
      </c>
      <c r="T30" s="742">
        <f t="shared" si="2"/>
        <v>6</v>
      </c>
      <c r="U30" s="742">
        <v>4.9000000000000004</v>
      </c>
      <c r="V30" s="742">
        <f>SUM(V28:V29)</f>
        <v>1.2749999999999999</v>
      </c>
      <c r="W30" s="742">
        <f>SUM(W28:W29)</f>
        <v>12</v>
      </c>
      <c r="X30" s="742">
        <f t="shared" si="2"/>
        <v>13.6875</v>
      </c>
      <c r="Y30" s="742">
        <f t="shared" si="2"/>
        <v>15</v>
      </c>
      <c r="Z30" s="742">
        <f t="shared" si="2"/>
        <v>16.5</v>
      </c>
      <c r="AA30" s="742">
        <f t="shared" si="2"/>
        <v>24.6875</v>
      </c>
      <c r="AB30" s="742">
        <f>SUM(AB28:AB29)</f>
        <v>176.86869999999999</v>
      </c>
    </row>
    <row r="31" spans="1:29" ht="12.75" customHeight="1" x14ac:dyDescent="0.2">
      <c r="C31" s="347"/>
    </row>
    <row r="32" spans="1:29" ht="12.75" customHeight="1" x14ac:dyDescent="0.2">
      <c r="C32" s="347"/>
    </row>
    <row r="33" spans="1:28" ht="15" x14ac:dyDescent="0.25">
      <c r="A33" s="707" t="s">
        <v>1138</v>
      </c>
      <c r="B33" s="707"/>
      <c r="C33" s="826"/>
      <c r="D33" s="708" t="s">
        <v>1113</v>
      </c>
      <c r="E33" s="708" t="s">
        <v>1114</v>
      </c>
      <c r="F33" s="708" t="s">
        <v>1115</v>
      </c>
      <c r="G33" s="708" t="s">
        <v>1116</v>
      </c>
      <c r="H33" s="708" t="s">
        <v>1117</v>
      </c>
      <c r="I33" s="708" t="s">
        <v>1142</v>
      </c>
      <c r="J33" s="708" t="s">
        <v>1141</v>
      </c>
      <c r="K33" s="708" t="s">
        <v>1121</v>
      </c>
      <c r="L33" s="708" t="s">
        <v>1143</v>
      </c>
      <c r="M33" s="708" t="s">
        <v>1124</v>
      </c>
      <c r="N33" s="708" t="s">
        <v>1144</v>
      </c>
      <c r="O33" s="708" t="s">
        <v>1125</v>
      </c>
      <c r="P33" s="708" t="s">
        <v>1126</v>
      </c>
      <c r="Q33" s="708" t="s">
        <v>1127</v>
      </c>
      <c r="R33" s="708" t="s">
        <v>880</v>
      </c>
      <c r="S33" s="708" t="s">
        <v>844</v>
      </c>
      <c r="T33" s="708" t="s">
        <v>1137</v>
      </c>
      <c r="U33" s="708" t="s">
        <v>90</v>
      </c>
      <c r="V33" s="708" t="s">
        <v>165</v>
      </c>
      <c r="W33" s="708" t="s">
        <v>1129</v>
      </c>
      <c r="X33" s="708" t="s">
        <v>1055</v>
      </c>
      <c r="Y33" s="708" t="s">
        <v>19</v>
      </c>
      <c r="Z33" s="708" t="s">
        <v>1102</v>
      </c>
      <c r="AA33" s="708" t="s">
        <v>1102</v>
      </c>
      <c r="AB33" s="748" t="s">
        <v>1135</v>
      </c>
    </row>
    <row r="34" spans="1:28" ht="15" x14ac:dyDescent="0.25">
      <c r="A34" s="707"/>
      <c r="B34" s="707"/>
      <c r="C34" s="826"/>
      <c r="D34" s="708" t="s">
        <v>1120</v>
      </c>
      <c r="E34" s="708" t="s">
        <v>1120</v>
      </c>
      <c r="F34" s="708" t="s">
        <v>1120</v>
      </c>
      <c r="G34" s="708" t="s">
        <v>1120</v>
      </c>
      <c r="H34" s="708" t="s">
        <v>1120</v>
      </c>
      <c r="I34" s="708" t="s">
        <v>1122</v>
      </c>
      <c r="J34" s="708" t="s">
        <v>1122</v>
      </c>
      <c r="K34" s="708" t="s">
        <v>1122</v>
      </c>
      <c r="L34" s="708" t="s">
        <v>1122</v>
      </c>
      <c r="M34" s="708" t="s">
        <v>1122</v>
      </c>
      <c r="N34" s="708" t="s">
        <v>1122</v>
      </c>
      <c r="O34" s="708" t="s">
        <v>1122</v>
      </c>
      <c r="P34" s="708" t="s">
        <v>1122</v>
      </c>
      <c r="Q34" s="708"/>
      <c r="R34" s="708"/>
      <c r="S34" s="708" t="s">
        <v>845</v>
      </c>
      <c r="T34" s="708" t="s">
        <v>785</v>
      </c>
      <c r="U34" s="708" t="s">
        <v>1052</v>
      </c>
      <c r="V34" s="708"/>
      <c r="W34" s="708"/>
      <c r="X34" s="708" t="s">
        <v>1131</v>
      </c>
      <c r="Y34" s="708"/>
      <c r="Z34" s="708" t="s">
        <v>1103</v>
      </c>
      <c r="AA34" s="708" t="s">
        <v>1103</v>
      </c>
      <c r="AB34" s="748" t="s">
        <v>1195</v>
      </c>
    </row>
    <row r="35" spans="1:28" ht="12.75" customHeight="1" x14ac:dyDescent="0.2">
      <c r="A35" s="717"/>
      <c r="B35" s="717"/>
      <c r="C35" s="827"/>
      <c r="D35" s="717" t="s">
        <v>371</v>
      </c>
      <c r="E35" s="717" t="s">
        <v>371</v>
      </c>
      <c r="F35" s="717" t="s">
        <v>371</v>
      </c>
      <c r="G35" s="717" t="s">
        <v>371</v>
      </c>
      <c r="H35" s="717" t="s">
        <v>371</v>
      </c>
      <c r="I35" s="717" t="s">
        <v>371</v>
      </c>
      <c r="J35" s="717" t="s">
        <v>371</v>
      </c>
      <c r="K35" s="736" t="s">
        <v>371</v>
      </c>
      <c r="L35" s="736" t="s">
        <v>371</v>
      </c>
      <c r="M35" s="736" t="s">
        <v>371</v>
      </c>
      <c r="N35" s="736" t="s">
        <v>371</v>
      </c>
      <c r="O35" s="736" t="s">
        <v>371</v>
      </c>
      <c r="P35" s="736" t="s">
        <v>371</v>
      </c>
      <c r="Q35" s="736" t="s">
        <v>1128</v>
      </c>
      <c r="R35" s="717" t="s">
        <v>1128</v>
      </c>
      <c r="S35" s="717" t="s">
        <v>1128</v>
      </c>
      <c r="T35" s="717" t="s">
        <v>1128</v>
      </c>
      <c r="U35" s="717" t="s">
        <v>1130</v>
      </c>
      <c r="V35" s="717"/>
      <c r="W35" s="717" t="s">
        <v>1062</v>
      </c>
      <c r="X35" s="717" t="s">
        <v>1062</v>
      </c>
      <c r="Y35" s="717" t="s">
        <v>1062</v>
      </c>
      <c r="Z35" s="736" t="s">
        <v>371</v>
      </c>
      <c r="AA35" s="736" t="s">
        <v>1092</v>
      </c>
      <c r="AB35" s="748"/>
    </row>
    <row r="36" spans="1:28" ht="12.75" customHeight="1" x14ac:dyDescent="0.2">
      <c r="A36" s="872" t="s">
        <v>1139</v>
      </c>
      <c r="B36" s="787" t="s">
        <v>988</v>
      </c>
      <c r="C36" s="824">
        <f>'5-Enrollment Projection'!E37</f>
        <v>1057</v>
      </c>
      <c r="D36" s="741">
        <v>9.5</v>
      </c>
      <c r="E36" s="741">
        <v>6</v>
      </c>
      <c r="F36" s="741">
        <v>9</v>
      </c>
      <c r="G36" s="741">
        <v>9</v>
      </c>
      <c r="H36" s="741">
        <v>5.5</v>
      </c>
      <c r="I36" s="741">
        <v>0</v>
      </c>
      <c r="J36" s="741">
        <v>4.5</v>
      </c>
      <c r="K36" s="741">
        <v>3</v>
      </c>
      <c r="L36" s="741">
        <v>5</v>
      </c>
      <c r="M36" s="741">
        <v>2.5</v>
      </c>
      <c r="N36" s="741">
        <v>1</v>
      </c>
      <c r="O36" s="741">
        <v>2</v>
      </c>
      <c r="P36" s="741">
        <v>2.2799999999999998</v>
      </c>
      <c r="Q36" s="741">
        <v>5</v>
      </c>
      <c r="R36" s="741">
        <v>1</v>
      </c>
      <c r="S36" s="741">
        <v>1</v>
      </c>
      <c r="T36" s="741">
        <v>2</v>
      </c>
      <c r="U36" s="741">
        <v>4</v>
      </c>
      <c r="V36" s="741">
        <v>3.35</v>
      </c>
      <c r="W36" s="741">
        <v>10</v>
      </c>
      <c r="X36" s="741">
        <v>6.8</v>
      </c>
      <c r="Y36" s="741">
        <v>11</v>
      </c>
      <c r="Z36" s="741">
        <v>12.3</v>
      </c>
      <c r="AA36" s="741">
        <v>21</v>
      </c>
      <c r="AB36" s="789">
        <f>SUM(D36:AA36)</f>
        <v>136.72999999999999</v>
      </c>
    </row>
    <row r="37" spans="1:28" ht="12.75" customHeight="1" x14ac:dyDescent="0.2">
      <c r="A37" s="872" t="s">
        <v>1140</v>
      </c>
      <c r="B37" s="787" t="s">
        <v>988</v>
      </c>
      <c r="C37" s="824">
        <f>'5-Enrollment Projection'!E38</f>
        <v>1135</v>
      </c>
      <c r="D37" s="741">
        <v>10.5</v>
      </c>
      <c r="E37" s="741">
        <v>7</v>
      </c>
      <c r="F37" s="741">
        <v>8.5</v>
      </c>
      <c r="G37" s="741">
        <v>9.5</v>
      </c>
      <c r="H37" s="741">
        <v>5.5</v>
      </c>
      <c r="I37" s="741">
        <v>0</v>
      </c>
      <c r="J37" s="741">
        <v>4.5</v>
      </c>
      <c r="K37" s="741">
        <v>3</v>
      </c>
      <c r="L37" s="741">
        <v>5</v>
      </c>
      <c r="M37" s="741">
        <v>2.5</v>
      </c>
      <c r="N37" s="741">
        <v>1</v>
      </c>
      <c r="O37" s="741">
        <v>2</v>
      </c>
      <c r="P37" s="741">
        <v>2.5</v>
      </c>
      <c r="Q37" s="741">
        <v>5</v>
      </c>
      <c r="R37" s="741">
        <v>1</v>
      </c>
      <c r="S37" s="741">
        <v>1</v>
      </c>
      <c r="T37" s="741">
        <v>2</v>
      </c>
      <c r="U37" s="741">
        <v>4</v>
      </c>
      <c r="V37" s="741">
        <v>0</v>
      </c>
      <c r="W37" s="741">
        <v>10</v>
      </c>
      <c r="X37" s="741">
        <v>7.9375</v>
      </c>
      <c r="Y37" s="741">
        <v>11</v>
      </c>
      <c r="Z37" s="741">
        <v>10.9</v>
      </c>
      <c r="AA37" s="741">
        <v>16.5</v>
      </c>
      <c r="AB37" s="789">
        <f>SUM(D37:AA37)</f>
        <v>130.83750000000001</v>
      </c>
    </row>
    <row r="38" spans="1:28" ht="15" x14ac:dyDescent="0.25">
      <c r="A38" s="742" t="s">
        <v>53</v>
      </c>
      <c r="B38" s="788"/>
      <c r="C38" s="825">
        <f>SUM(C36:C37)</f>
        <v>2192</v>
      </c>
      <c r="D38" s="825">
        <f t="shared" ref="D38:AB38" si="3">SUM(D36:D37)</f>
        <v>20</v>
      </c>
      <c r="E38" s="825">
        <f t="shared" si="3"/>
        <v>13</v>
      </c>
      <c r="F38" s="825">
        <f t="shared" si="3"/>
        <v>17.5</v>
      </c>
      <c r="G38" s="825">
        <f t="shared" si="3"/>
        <v>18.5</v>
      </c>
      <c r="H38" s="825">
        <f t="shared" si="3"/>
        <v>11</v>
      </c>
      <c r="I38" s="825">
        <f t="shared" si="3"/>
        <v>0</v>
      </c>
      <c r="J38" s="825">
        <f t="shared" si="3"/>
        <v>9</v>
      </c>
      <c r="K38" s="825">
        <f t="shared" si="3"/>
        <v>6</v>
      </c>
      <c r="L38" s="825">
        <f t="shared" si="3"/>
        <v>10</v>
      </c>
      <c r="M38" s="825">
        <f t="shared" si="3"/>
        <v>5</v>
      </c>
      <c r="N38" s="825">
        <f t="shared" si="3"/>
        <v>2</v>
      </c>
      <c r="O38" s="825">
        <f t="shared" si="3"/>
        <v>4</v>
      </c>
      <c r="P38" s="825">
        <f t="shared" si="3"/>
        <v>4.7799999999999994</v>
      </c>
      <c r="Q38" s="825">
        <f t="shared" si="3"/>
        <v>10</v>
      </c>
      <c r="R38" s="825">
        <f t="shared" si="3"/>
        <v>2</v>
      </c>
      <c r="S38" s="825">
        <f t="shared" si="3"/>
        <v>2</v>
      </c>
      <c r="T38" s="825">
        <f t="shared" si="3"/>
        <v>4</v>
      </c>
      <c r="U38" s="825">
        <f t="shared" si="3"/>
        <v>8</v>
      </c>
      <c r="V38" s="825">
        <f t="shared" si="3"/>
        <v>3.35</v>
      </c>
      <c r="W38" s="825">
        <f t="shared" si="3"/>
        <v>20</v>
      </c>
      <c r="X38" s="825">
        <f t="shared" si="3"/>
        <v>14.737500000000001</v>
      </c>
      <c r="Y38" s="825">
        <f t="shared" si="3"/>
        <v>22</v>
      </c>
      <c r="Z38" s="825">
        <f t="shared" si="3"/>
        <v>23.200000000000003</v>
      </c>
      <c r="AA38" s="825">
        <f t="shared" si="3"/>
        <v>37.5</v>
      </c>
      <c r="AB38" s="825">
        <f t="shared" si="3"/>
        <v>267.5675</v>
      </c>
    </row>
    <row r="39" spans="1:28" ht="12.75" customHeight="1" x14ac:dyDescent="0.2">
      <c r="C39" s="347"/>
    </row>
    <row r="40" spans="1:28" ht="12.75" customHeight="1" x14ac:dyDescent="0.2">
      <c r="C40" s="347"/>
    </row>
    <row r="41" spans="1:28" ht="15" x14ac:dyDescent="0.25">
      <c r="A41" s="707" t="s">
        <v>1145</v>
      </c>
      <c r="B41" s="707"/>
      <c r="C41" s="826"/>
      <c r="D41" s="708" t="s">
        <v>1113</v>
      </c>
      <c r="E41" s="708" t="s">
        <v>1114</v>
      </c>
      <c r="F41" s="708" t="s">
        <v>1115</v>
      </c>
      <c r="G41" s="708" t="s">
        <v>1116</v>
      </c>
      <c r="H41" s="708" t="s">
        <v>1117</v>
      </c>
      <c r="I41" s="708" t="s">
        <v>1142</v>
      </c>
      <c r="J41" s="708" t="s">
        <v>1147</v>
      </c>
      <c r="K41" s="708" t="s">
        <v>1148</v>
      </c>
      <c r="L41" s="708" t="s">
        <v>1121</v>
      </c>
      <c r="M41" s="708" t="s">
        <v>1124</v>
      </c>
      <c r="N41" s="708" t="s">
        <v>1144</v>
      </c>
      <c r="O41" s="708" t="s">
        <v>1143</v>
      </c>
      <c r="P41" s="708" t="s">
        <v>1126</v>
      </c>
      <c r="Q41" s="708" t="s">
        <v>1127</v>
      </c>
      <c r="R41" s="708" t="s">
        <v>880</v>
      </c>
      <c r="S41" s="708" t="s">
        <v>844</v>
      </c>
      <c r="T41" s="708" t="s">
        <v>1137</v>
      </c>
      <c r="U41" s="708" t="s">
        <v>90</v>
      </c>
      <c r="V41" s="708" t="s">
        <v>165</v>
      </c>
      <c r="W41" s="708" t="s">
        <v>1129</v>
      </c>
      <c r="X41" s="708" t="s">
        <v>1055</v>
      </c>
      <c r="Y41" s="708" t="s">
        <v>19</v>
      </c>
      <c r="Z41" s="708" t="s">
        <v>1102</v>
      </c>
      <c r="AA41" s="708" t="s">
        <v>1102</v>
      </c>
      <c r="AB41" s="748" t="s">
        <v>1135</v>
      </c>
    </row>
    <row r="42" spans="1:28" ht="15" x14ac:dyDescent="0.25">
      <c r="A42" s="707"/>
      <c r="B42" s="707"/>
      <c r="C42" s="826"/>
      <c r="D42" s="708" t="s">
        <v>1120</v>
      </c>
      <c r="E42" s="708" t="s">
        <v>1120</v>
      </c>
      <c r="F42" s="708" t="s">
        <v>1120</v>
      </c>
      <c r="G42" s="708" t="s">
        <v>1120</v>
      </c>
      <c r="H42" s="708" t="s">
        <v>1120</v>
      </c>
      <c r="I42" s="708" t="s">
        <v>1122</v>
      </c>
      <c r="J42" s="708" t="s">
        <v>1149</v>
      </c>
      <c r="K42" s="708" t="s">
        <v>1120</v>
      </c>
      <c r="L42" s="708" t="s">
        <v>1122</v>
      </c>
      <c r="M42" s="708" t="s">
        <v>1122</v>
      </c>
      <c r="N42" s="708" t="s">
        <v>1122</v>
      </c>
      <c r="O42" s="708" t="s">
        <v>1122</v>
      </c>
      <c r="P42" s="708" t="s">
        <v>1122</v>
      </c>
      <c r="Q42" s="708"/>
      <c r="R42" s="708"/>
      <c r="S42" s="708" t="s">
        <v>845</v>
      </c>
      <c r="T42" s="708" t="s">
        <v>785</v>
      </c>
      <c r="U42" s="708" t="s">
        <v>1052</v>
      </c>
      <c r="V42" s="708"/>
      <c r="W42" s="708"/>
      <c r="X42" s="708" t="s">
        <v>1131</v>
      </c>
      <c r="Y42" s="708"/>
      <c r="Z42" s="708" t="s">
        <v>1103</v>
      </c>
      <c r="AA42" s="708" t="s">
        <v>1103</v>
      </c>
      <c r="AB42" s="748" t="s">
        <v>1196</v>
      </c>
    </row>
    <row r="43" spans="1:28" ht="12.75" customHeight="1" x14ac:dyDescent="0.2">
      <c r="A43" s="717"/>
      <c r="B43" s="717"/>
      <c r="C43" s="827"/>
      <c r="D43" s="717" t="s">
        <v>371</v>
      </c>
      <c r="E43" s="717" t="s">
        <v>371</v>
      </c>
      <c r="F43" s="717" t="s">
        <v>371</v>
      </c>
      <c r="G43" s="717" t="s">
        <v>371</v>
      </c>
      <c r="H43" s="717" t="s">
        <v>371</v>
      </c>
      <c r="I43" s="717" t="s">
        <v>371</v>
      </c>
      <c r="J43" s="717" t="s">
        <v>371</v>
      </c>
      <c r="K43" s="736" t="s">
        <v>371</v>
      </c>
      <c r="L43" s="736" t="s">
        <v>371</v>
      </c>
      <c r="M43" s="736" t="s">
        <v>371</v>
      </c>
      <c r="N43" s="736" t="s">
        <v>371</v>
      </c>
      <c r="O43" s="736" t="s">
        <v>371</v>
      </c>
      <c r="P43" s="736" t="s">
        <v>371</v>
      </c>
      <c r="Q43" s="736" t="s">
        <v>1128</v>
      </c>
      <c r="R43" s="717" t="s">
        <v>1128</v>
      </c>
      <c r="S43" s="717" t="s">
        <v>1128</v>
      </c>
      <c r="T43" s="717" t="s">
        <v>1128</v>
      </c>
      <c r="U43" s="717" t="s">
        <v>1130</v>
      </c>
      <c r="V43" s="717"/>
      <c r="W43" s="717" t="s">
        <v>1062</v>
      </c>
      <c r="X43" s="717" t="s">
        <v>1062</v>
      </c>
      <c r="Y43" s="717" t="s">
        <v>1062</v>
      </c>
      <c r="Z43" s="736" t="s">
        <v>371</v>
      </c>
      <c r="AA43" s="736" t="s">
        <v>1092</v>
      </c>
      <c r="AB43" s="748"/>
    </row>
    <row r="44" spans="1:28" ht="12.75" customHeight="1" x14ac:dyDescent="0.2">
      <c r="A44" s="872" t="s">
        <v>50</v>
      </c>
      <c r="B44" s="787" t="s">
        <v>988</v>
      </c>
      <c r="C44" s="824">
        <f>'5-Enrollment Projection'!E36</f>
        <v>145</v>
      </c>
      <c r="D44" s="741">
        <v>3</v>
      </c>
      <c r="E44" s="741">
        <v>1.5</v>
      </c>
      <c r="F44" s="741">
        <v>2</v>
      </c>
      <c r="G44" s="741">
        <v>2</v>
      </c>
      <c r="H44" s="741">
        <v>0.875</v>
      </c>
      <c r="I44" s="741">
        <v>0</v>
      </c>
      <c r="J44" s="741">
        <v>0.5</v>
      </c>
      <c r="K44" s="741">
        <v>4</v>
      </c>
      <c r="L44" s="741">
        <v>1</v>
      </c>
      <c r="M44" s="741">
        <v>1</v>
      </c>
      <c r="N44" s="741">
        <v>0</v>
      </c>
      <c r="O44" s="741">
        <v>1</v>
      </c>
      <c r="P44" s="741">
        <v>0</v>
      </c>
      <c r="Q44" s="741">
        <v>1</v>
      </c>
      <c r="R44" s="741">
        <v>0.4</v>
      </c>
      <c r="S44" s="741">
        <v>0</v>
      </c>
      <c r="T44" s="741">
        <v>1</v>
      </c>
      <c r="U44" s="741">
        <v>1</v>
      </c>
      <c r="V44" s="741">
        <v>0</v>
      </c>
      <c r="W44" s="741">
        <v>2</v>
      </c>
      <c r="X44" s="741">
        <v>2.75</v>
      </c>
      <c r="Y44" s="741">
        <v>1.5</v>
      </c>
      <c r="Z44" s="741">
        <v>3</v>
      </c>
      <c r="AA44" s="741">
        <v>0.9</v>
      </c>
      <c r="AB44" s="789">
        <f>SUM(D44:AA44)</f>
        <v>30.424999999999997</v>
      </c>
    </row>
    <row r="45" spans="1:28" ht="15" x14ac:dyDescent="0.25">
      <c r="A45" s="742" t="s">
        <v>1150</v>
      </c>
      <c r="B45" s="788"/>
      <c r="C45" s="825">
        <v>1327</v>
      </c>
      <c r="D45" s="742">
        <f t="shared" ref="D45:T45" si="4">SUM(D44:D44)</f>
        <v>3</v>
      </c>
      <c r="E45" s="742">
        <f t="shared" si="4"/>
        <v>1.5</v>
      </c>
      <c r="F45" s="742">
        <f t="shared" si="4"/>
        <v>2</v>
      </c>
      <c r="G45" s="742">
        <f t="shared" si="4"/>
        <v>2</v>
      </c>
      <c r="H45" s="742">
        <f t="shared" si="4"/>
        <v>0.875</v>
      </c>
      <c r="I45" s="742">
        <f t="shared" si="4"/>
        <v>0</v>
      </c>
      <c r="J45" s="742">
        <f t="shared" si="4"/>
        <v>0.5</v>
      </c>
      <c r="K45" s="742">
        <f t="shared" si="4"/>
        <v>4</v>
      </c>
      <c r="L45" s="742">
        <f t="shared" si="4"/>
        <v>1</v>
      </c>
      <c r="M45" s="742">
        <f t="shared" si="4"/>
        <v>1</v>
      </c>
      <c r="N45" s="742">
        <f t="shared" si="4"/>
        <v>0</v>
      </c>
      <c r="O45" s="742">
        <f t="shared" si="4"/>
        <v>1</v>
      </c>
      <c r="P45" s="742">
        <f t="shared" si="4"/>
        <v>0</v>
      </c>
      <c r="Q45" s="742">
        <f t="shared" si="4"/>
        <v>1</v>
      </c>
      <c r="R45" s="742">
        <f t="shared" si="4"/>
        <v>0.4</v>
      </c>
      <c r="S45" s="742">
        <f t="shared" si="4"/>
        <v>0</v>
      </c>
      <c r="T45" s="742">
        <f t="shared" si="4"/>
        <v>1</v>
      </c>
      <c r="U45" s="742">
        <v>4.9000000000000004</v>
      </c>
      <c r="V45" s="742">
        <f t="shared" ref="V45:AB45" si="5">SUM(V44:V44)</f>
        <v>0</v>
      </c>
      <c r="W45" s="742">
        <f t="shared" si="5"/>
        <v>2</v>
      </c>
      <c r="X45" s="742">
        <f t="shared" si="5"/>
        <v>2.75</v>
      </c>
      <c r="Y45" s="742">
        <f t="shared" si="5"/>
        <v>1.5</v>
      </c>
      <c r="Z45" s="742">
        <f t="shared" si="5"/>
        <v>3</v>
      </c>
      <c r="AA45" s="742">
        <f t="shared" si="5"/>
        <v>0.9</v>
      </c>
      <c r="AB45" s="742">
        <f t="shared" si="5"/>
        <v>30.424999999999997</v>
      </c>
    </row>
    <row r="46" spans="1:28" ht="12.75" customHeight="1" x14ac:dyDescent="0.2">
      <c r="C46" s="347"/>
    </row>
    <row r="47" spans="1:28" ht="12.75" customHeight="1" x14ac:dyDescent="0.2">
      <c r="C47" s="347"/>
    </row>
    <row r="48" spans="1:28" ht="15" x14ac:dyDescent="0.25">
      <c r="A48" s="707" t="s">
        <v>1146</v>
      </c>
      <c r="B48" s="707"/>
      <c r="C48" s="826"/>
      <c r="D48" s="708" t="s">
        <v>1113</v>
      </c>
      <c r="E48" s="708" t="s">
        <v>1114</v>
      </c>
      <c r="F48" s="708" t="s">
        <v>1115</v>
      </c>
      <c r="G48" s="708" t="s">
        <v>1116</v>
      </c>
      <c r="H48" s="708" t="s">
        <v>1117</v>
      </c>
      <c r="I48" s="708" t="s">
        <v>1142</v>
      </c>
      <c r="J48" s="708" t="s">
        <v>1141</v>
      </c>
      <c r="K48" s="708" t="s">
        <v>1121</v>
      </c>
      <c r="L48" s="708" t="s">
        <v>1143</v>
      </c>
      <c r="M48" s="708" t="s">
        <v>1124</v>
      </c>
      <c r="N48" s="708" t="s">
        <v>1144</v>
      </c>
      <c r="O48" s="708" t="s">
        <v>1125</v>
      </c>
      <c r="P48" s="708" t="s">
        <v>1126</v>
      </c>
      <c r="Q48" s="708" t="s">
        <v>1127</v>
      </c>
      <c r="R48" s="708" t="s">
        <v>880</v>
      </c>
      <c r="S48" s="708" t="s">
        <v>844</v>
      </c>
      <c r="T48" s="708" t="s">
        <v>1137</v>
      </c>
      <c r="U48" s="708" t="s">
        <v>90</v>
      </c>
      <c r="V48" s="708" t="s">
        <v>165</v>
      </c>
      <c r="W48" s="708" t="s">
        <v>1129</v>
      </c>
      <c r="X48" s="708" t="s">
        <v>1055</v>
      </c>
      <c r="Y48" s="708" t="s">
        <v>19</v>
      </c>
      <c r="Z48" s="708" t="s">
        <v>1102</v>
      </c>
      <c r="AA48" s="708" t="s">
        <v>1102</v>
      </c>
      <c r="AB48" s="748" t="s">
        <v>1135</v>
      </c>
    </row>
    <row r="49" spans="1:28" ht="15" x14ac:dyDescent="0.25">
      <c r="A49" s="707"/>
      <c r="B49" s="707"/>
      <c r="C49" s="826"/>
      <c r="D49" s="708" t="s">
        <v>1120</v>
      </c>
      <c r="E49" s="708" t="s">
        <v>1120</v>
      </c>
      <c r="F49" s="708" t="s">
        <v>1120</v>
      </c>
      <c r="G49" s="708" t="s">
        <v>1120</v>
      </c>
      <c r="H49" s="708" t="s">
        <v>1120</v>
      </c>
      <c r="I49" s="708" t="s">
        <v>1122</v>
      </c>
      <c r="J49" s="708" t="s">
        <v>1122</v>
      </c>
      <c r="K49" s="708" t="s">
        <v>1122</v>
      </c>
      <c r="L49" s="708" t="s">
        <v>1122</v>
      </c>
      <c r="M49" s="708" t="s">
        <v>1122</v>
      </c>
      <c r="N49" s="708" t="s">
        <v>1122</v>
      </c>
      <c r="O49" s="708" t="s">
        <v>1122</v>
      </c>
      <c r="P49" s="708" t="s">
        <v>1122</v>
      </c>
      <c r="Q49" s="708"/>
      <c r="R49" s="708"/>
      <c r="S49" s="708" t="s">
        <v>845</v>
      </c>
      <c r="T49" s="708" t="s">
        <v>785</v>
      </c>
      <c r="U49" s="708" t="s">
        <v>1052</v>
      </c>
      <c r="V49" s="708"/>
      <c r="W49" s="708"/>
      <c r="X49" s="708" t="s">
        <v>1131</v>
      </c>
      <c r="Y49" s="708"/>
      <c r="Z49" s="708" t="s">
        <v>1103</v>
      </c>
      <c r="AA49" s="708" t="s">
        <v>1103</v>
      </c>
      <c r="AB49" s="748" t="s">
        <v>1197</v>
      </c>
    </row>
    <row r="50" spans="1:28" ht="12.75" customHeight="1" x14ac:dyDescent="0.2">
      <c r="A50" s="717"/>
      <c r="B50" s="717"/>
      <c r="C50" s="827"/>
      <c r="D50" s="717" t="s">
        <v>371</v>
      </c>
      <c r="E50" s="717" t="s">
        <v>371</v>
      </c>
      <c r="F50" s="717" t="s">
        <v>371</v>
      </c>
      <c r="G50" s="717" t="s">
        <v>371</v>
      </c>
      <c r="H50" s="717" t="s">
        <v>371</v>
      </c>
      <c r="I50" s="717" t="s">
        <v>371</v>
      </c>
      <c r="J50" s="717" t="s">
        <v>371</v>
      </c>
      <c r="K50" s="736" t="s">
        <v>371</v>
      </c>
      <c r="L50" s="736" t="s">
        <v>371</v>
      </c>
      <c r="M50" s="736" t="s">
        <v>371</v>
      </c>
      <c r="N50" s="736" t="s">
        <v>371</v>
      </c>
      <c r="O50" s="736" t="s">
        <v>371</v>
      </c>
      <c r="P50" s="736" t="s">
        <v>371</v>
      </c>
      <c r="Q50" s="736" t="s">
        <v>1128</v>
      </c>
      <c r="R50" s="717" t="s">
        <v>1128</v>
      </c>
      <c r="S50" s="717" t="s">
        <v>1128</v>
      </c>
      <c r="T50" s="717" t="s">
        <v>1128</v>
      </c>
      <c r="U50" s="717" t="s">
        <v>1130</v>
      </c>
      <c r="V50" s="717"/>
      <c r="W50" s="717" t="s">
        <v>1062</v>
      </c>
      <c r="X50" s="717" t="s">
        <v>1062</v>
      </c>
      <c r="Y50" s="717" t="s">
        <v>1062</v>
      </c>
      <c r="Z50" s="736" t="s">
        <v>371</v>
      </c>
      <c r="AA50" s="736" t="s">
        <v>1092</v>
      </c>
      <c r="AB50" s="748"/>
    </row>
    <row r="51" spans="1:28" ht="12.75" customHeight="1" x14ac:dyDescent="0.2">
      <c r="A51" s="741" t="s">
        <v>1187</v>
      </c>
      <c r="B51" s="787" t="s">
        <v>988</v>
      </c>
      <c r="C51" s="824">
        <f>'5-Enrollment Projection'!E39</f>
        <v>192</v>
      </c>
      <c r="D51" s="741">
        <v>2</v>
      </c>
      <c r="E51" s="741">
        <v>2</v>
      </c>
      <c r="F51" s="741">
        <v>2</v>
      </c>
      <c r="G51" s="741">
        <v>2</v>
      </c>
      <c r="H51" s="741">
        <v>2</v>
      </c>
      <c r="I51" s="741"/>
      <c r="J51" s="741">
        <v>1.75</v>
      </c>
      <c r="K51" s="741">
        <v>1</v>
      </c>
      <c r="L51" s="741">
        <v>1</v>
      </c>
      <c r="M51" s="741">
        <v>1</v>
      </c>
      <c r="N51" s="741">
        <v>0</v>
      </c>
      <c r="O51" s="741">
        <v>1</v>
      </c>
      <c r="P51" s="741">
        <v>0.875</v>
      </c>
      <c r="Q51" s="741">
        <v>1</v>
      </c>
      <c r="R51" s="741">
        <v>0.5</v>
      </c>
      <c r="S51" s="741">
        <v>0</v>
      </c>
      <c r="T51" s="741">
        <v>1.125</v>
      </c>
      <c r="U51" s="741">
        <v>1</v>
      </c>
      <c r="V51" s="741">
        <v>1.125</v>
      </c>
      <c r="W51" s="741">
        <v>3</v>
      </c>
      <c r="X51" s="741">
        <v>3.15</v>
      </c>
      <c r="Y51" s="741">
        <v>3.75</v>
      </c>
      <c r="Z51" s="741">
        <v>2.2000000000000002</v>
      </c>
      <c r="AA51" s="741">
        <v>2.625</v>
      </c>
      <c r="AB51" s="789">
        <f>SUM(D51:AA51)</f>
        <v>36.1</v>
      </c>
    </row>
    <row r="52" spans="1:28" ht="15" x14ac:dyDescent="0.25">
      <c r="A52" s="742" t="s">
        <v>1151</v>
      </c>
      <c r="B52" s="788"/>
      <c r="C52" s="825">
        <v>1327</v>
      </c>
      <c r="D52" s="742">
        <f t="shared" ref="D52:T52" si="6">SUM(D51:D51)</f>
        <v>2</v>
      </c>
      <c r="E52" s="742">
        <f t="shared" si="6"/>
        <v>2</v>
      </c>
      <c r="F52" s="742">
        <f t="shared" si="6"/>
        <v>2</v>
      </c>
      <c r="G52" s="742">
        <f t="shared" si="6"/>
        <v>2</v>
      </c>
      <c r="H52" s="742">
        <f t="shared" si="6"/>
        <v>2</v>
      </c>
      <c r="I52" s="742">
        <f t="shared" si="6"/>
        <v>0</v>
      </c>
      <c r="J52" s="742">
        <f t="shared" si="6"/>
        <v>1.75</v>
      </c>
      <c r="K52" s="742">
        <f t="shared" si="6"/>
        <v>1</v>
      </c>
      <c r="L52" s="742">
        <f t="shared" si="6"/>
        <v>1</v>
      </c>
      <c r="M52" s="742">
        <f t="shared" si="6"/>
        <v>1</v>
      </c>
      <c r="N52" s="742">
        <f t="shared" si="6"/>
        <v>0</v>
      </c>
      <c r="O52" s="742">
        <f t="shared" si="6"/>
        <v>1</v>
      </c>
      <c r="P52" s="742">
        <f t="shared" si="6"/>
        <v>0.875</v>
      </c>
      <c r="Q52" s="742">
        <f t="shared" si="6"/>
        <v>1</v>
      </c>
      <c r="R52" s="742">
        <f t="shared" si="6"/>
        <v>0.5</v>
      </c>
      <c r="S52" s="742">
        <f t="shared" si="6"/>
        <v>0</v>
      </c>
      <c r="T52" s="742">
        <f t="shared" si="6"/>
        <v>1.125</v>
      </c>
      <c r="U52" s="742">
        <v>4.9000000000000004</v>
      </c>
      <c r="V52" s="742">
        <f t="shared" ref="V52:AB52" si="7">SUM(V51:V51)</f>
        <v>1.125</v>
      </c>
      <c r="W52" s="742">
        <f t="shared" si="7"/>
        <v>3</v>
      </c>
      <c r="X52" s="742">
        <f t="shared" si="7"/>
        <v>3.15</v>
      </c>
      <c r="Y52" s="742">
        <f t="shared" si="7"/>
        <v>3.75</v>
      </c>
      <c r="Z52" s="742">
        <f t="shared" si="7"/>
        <v>2.2000000000000002</v>
      </c>
      <c r="AA52" s="742">
        <f t="shared" si="7"/>
        <v>2.625</v>
      </c>
      <c r="AB52" s="742">
        <f t="shared" si="7"/>
        <v>36.1</v>
      </c>
    </row>
  </sheetData>
  <mergeCells count="1">
    <mergeCell ref="Z6:AA6"/>
  </mergeCells>
  <pageMargins left="0.7" right="0.7" top="0.75" bottom="0.75" header="0.3" footer="0.3"/>
  <pageSetup orientation="portrait" r:id="rId1"/>
  <ignoredErrors>
    <ignoredError sqref="AB8:AB21 AB28:AB29 AB31 AB36:AB37 AB44" formulaRange="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E51"/>
  <sheetViews>
    <sheetView topLeftCell="A19" workbookViewId="0">
      <selection activeCell="A2" sqref="A2:D2"/>
    </sheetView>
  </sheetViews>
  <sheetFormatPr defaultRowHeight="12.75" x14ac:dyDescent="0.2"/>
  <cols>
    <col min="1" max="1" width="20.42578125" style="395" customWidth="1"/>
    <col min="2" max="3" width="12.7109375" style="2" customWidth="1"/>
    <col min="4" max="4" width="13.5703125" style="396" customWidth="1"/>
    <col min="5" max="5" width="9.140625" style="395"/>
    <col min="6" max="6" width="10.28515625" style="395" bestFit="1" customWidth="1"/>
    <col min="7" max="16384" width="9.140625" style="395"/>
  </cols>
  <sheetData>
    <row r="1" spans="1:5" ht="18" x14ac:dyDescent="0.25">
      <c r="A1" s="878" t="s">
        <v>1312</v>
      </c>
      <c r="B1" s="878"/>
      <c r="C1" s="878"/>
      <c r="D1" s="878"/>
    </row>
    <row r="2" spans="1:5" x14ac:dyDescent="0.2">
      <c r="A2" s="882" t="s">
        <v>756</v>
      </c>
      <c r="B2" s="882"/>
      <c r="C2" s="882"/>
      <c r="D2" s="882"/>
    </row>
    <row r="3" spans="1:5" x14ac:dyDescent="0.2">
      <c r="A3" s="411"/>
      <c r="B3" s="411"/>
      <c r="C3" s="411"/>
      <c r="D3" s="411"/>
    </row>
    <row r="4" spans="1:5" x14ac:dyDescent="0.2">
      <c r="A4" s="229" t="s">
        <v>399</v>
      </c>
      <c r="B4" s="231"/>
      <c r="C4" s="231"/>
      <c r="D4" s="231"/>
    </row>
    <row r="5" spans="1:5" x14ac:dyDescent="0.2">
      <c r="A5" s="230" t="s">
        <v>757</v>
      </c>
      <c r="B5" s="232"/>
      <c r="C5" s="232"/>
      <c r="D5" s="232"/>
    </row>
    <row r="7" spans="1:5" x14ac:dyDescent="0.2">
      <c r="A7" s="412" t="s">
        <v>9</v>
      </c>
      <c r="B7" s="277" t="s">
        <v>59</v>
      </c>
      <c r="C7" s="277" t="s">
        <v>62</v>
      </c>
      <c r="D7" s="152" t="s">
        <v>98</v>
      </c>
    </row>
    <row r="8" spans="1:5" x14ac:dyDescent="0.2">
      <c r="A8" s="51"/>
      <c r="B8" s="278" t="s">
        <v>61</v>
      </c>
      <c r="C8" s="278" t="s">
        <v>761</v>
      </c>
      <c r="D8" s="153" t="s">
        <v>99</v>
      </c>
    </row>
    <row r="9" spans="1:5" x14ac:dyDescent="0.2">
      <c r="A9" s="395" t="s">
        <v>30</v>
      </c>
      <c r="B9" s="2">
        <f>'5-Enrollment Projection'!E8</f>
        <v>36</v>
      </c>
      <c r="C9" s="2">
        <f>0</f>
        <v>0</v>
      </c>
      <c r="D9" s="602">
        <f>B46</f>
        <v>3078</v>
      </c>
    </row>
    <row r="10" spans="1:5" x14ac:dyDescent="0.2">
      <c r="A10" s="395" t="s">
        <v>32</v>
      </c>
      <c r="B10" s="2">
        <f>'5-Enrollment Projection'!E9</f>
        <v>25</v>
      </c>
      <c r="C10" s="2">
        <f>0</f>
        <v>0</v>
      </c>
      <c r="D10" s="602">
        <f>B46</f>
        <v>3078</v>
      </c>
    </row>
    <row r="11" spans="1:5" x14ac:dyDescent="0.2">
      <c r="A11" s="395" t="s">
        <v>33</v>
      </c>
      <c r="B11" s="2">
        <f>'5-Enrollment Projection'!E10</f>
        <v>16</v>
      </c>
      <c r="C11" s="2">
        <f>0</f>
        <v>0</v>
      </c>
      <c r="D11" s="602">
        <f>B46</f>
        <v>3078</v>
      </c>
    </row>
    <row r="12" spans="1:5" x14ac:dyDescent="0.2">
      <c r="A12" s="16" t="s">
        <v>34</v>
      </c>
      <c r="B12" s="17">
        <f>SUM(B9:B11)</f>
        <v>77</v>
      </c>
      <c r="C12" s="17"/>
      <c r="D12" s="603">
        <f>SUM(D9:D11)</f>
        <v>9234</v>
      </c>
      <c r="E12" s="493"/>
    </row>
    <row r="13" spans="1:5" x14ac:dyDescent="0.2">
      <c r="D13" s="602"/>
      <c r="E13" s="397"/>
    </row>
    <row r="14" spans="1:5" x14ac:dyDescent="0.2">
      <c r="A14" s="395" t="s">
        <v>693</v>
      </c>
      <c r="B14" s="2">
        <f>'5-Enrollment Projection'!E14</f>
        <v>417</v>
      </c>
      <c r="C14" s="2">
        <f>IF(B14-250&gt;0,B14-250,0)</f>
        <v>167</v>
      </c>
      <c r="D14" s="602">
        <f>B46+(C14*B47)</f>
        <v>4105.05</v>
      </c>
      <c r="E14" s="397"/>
    </row>
    <row r="15" spans="1:5" x14ac:dyDescent="0.2">
      <c r="A15" s="395" t="s">
        <v>35</v>
      </c>
      <c r="B15" s="2">
        <f>'5-Enrollment Projection'!E15</f>
        <v>372</v>
      </c>
      <c r="C15" s="805">
        <f t="shared" ref="C15:C27" si="0">IF(B15-250&gt;0,B15-250,0)</f>
        <v>122</v>
      </c>
      <c r="D15" s="602">
        <f>B46+(C15*B47)</f>
        <v>3828.3</v>
      </c>
      <c r="E15" s="397"/>
    </row>
    <row r="16" spans="1:5" x14ac:dyDescent="0.2">
      <c r="A16" s="395" t="s">
        <v>36</v>
      </c>
      <c r="B16" s="2">
        <f>'5-Enrollment Projection'!E16</f>
        <v>209</v>
      </c>
      <c r="C16" s="805">
        <f t="shared" si="0"/>
        <v>0</v>
      </c>
      <c r="D16" s="602">
        <f>B46+(C16*B47)</f>
        <v>3078</v>
      </c>
      <c r="E16" s="397"/>
    </row>
    <row r="17" spans="1:5" x14ac:dyDescent="0.2">
      <c r="A17" s="395" t="s">
        <v>37</v>
      </c>
      <c r="B17" s="2">
        <f>'5-Enrollment Projection'!E17</f>
        <v>408</v>
      </c>
      <c r="C17" s="805">
        <f t="shared" si="0"/>
        <v>158</v>
      </c>
      <c r="D17" s="602">
        <f>B46+(C17*B47)</f>
        <v>4049.7</v>
      </c>
      <c r="E17" s="397"/>
    </row>
    <row r="18" spans="1:5" x14ac:dyDescent="0.2">
      <c r="A18" s="395" t="s">
        <v>38</v>
      </c>
      <c r="B18" s="2">
        <f>'5-Enrollment Projection'!E18</f>
        <v>440</v>
      </c>
      <c r="C18" s="805">
        <f t="shared" si="0"/>
        <v>190</v>
      </c>
      <c r="D18" s="602">
        <f>B46+(C18*B47)</f>
        <v>4246.5</v>
      </c>
      <c r="E18" s="397"/>
    </row>
    <row r="19" spans="1:5" x14ac:dyDescent="0.2">
      <c r="A19" s="395" t="s">
        <v>39</v>
      </c>
      <c r="B19" s="2">
        <f>'5-Enrollment Projection'!E19</f>
        <v>259</v>
      </c>
      <c r="C19" s="805">
        <f t="shared" si="0"/>
        <v>9</v>
      </c>
      <c r="D19" s="602">
        <f>B46+(C19*B47)</f>
        <v>3133.35</v>
      </c>
      <c r="E19" s="397"/>
    </row>
    <row r="20" spans="1:5" x14ac:dyDescent="0.2">
      <c r="A20" s="395" t="s">
        <v>40</v>
      </c>
      <c r="B20" s="2">
        <f>'5-Enrollment Projection'!E20</f>
        <v>333</v>
      </c>
      <c r="C20" s="805">
        <f t="shared" si="0"/>
        <v>83</v>
      </c>
      <c r="D20" s="602">
        <f>B46+(C20*B47)</f>
        <v>3588.45</v>
      </c>
      <c r="E20" s="397"/>
    </row>
    <row r="21" spans="1:5" x14ac:dyDescent="0.2">
      <c r="A21" s="387" t="s">
        <v>667</v>
      </c>
      <c r="B21" s="2">
        <f>'5-Enrollment Projection'!E21</f>
        <v>350</v>
      </c>
      <c r="C21" s="805">
        <f t="shared" si="0"/>
        <v>100</v>
      </c>
      <c r="D21" s="602">
        <f>B46+(C21*B47)</f>
        <v>3693</v>
      </c>
      <c r="E21" s="397"/>
    </row>
    <row r="22" spans="1:5" x14ac:dyDescent="0.2">
      <c r="A22" s="395" t="s">
        <v>41</v>
      </c>
      <c r="B22" s="2">
        <f>'5-Enrollment Projection'!E22</f>
        <v>410</v>
      </c>
      <c r="C22" s="805">
        <f t="shared" si="0"/>
        <v>160</v>
      </c>
      <c r="D22" s="602">
        <f>B46+(C22*B47)</f>
        <v>4062</v>
      </c>
      <c r="E22" s="397"/>
    </row>
    <row r="23" spans="1:5" x14ac:dyDescent="0.2">
      <c r="A23" s="395" t="s">
        <v>42</v>
      </c>
      <c r="B23" s="2">
        <f>'5-Enrollment Projection'!E23</f>
        <v>309</v>
      </c>
      <c r="C23" s="805">
        <f t="shared" si="0"/>
        <v>59</v>
      </c>
      <c r="D23" s="602">
        <f>B46+(C23*B47)</f>
        <v>3440.85</v>
      </c>
      <c r="E23" s="397"/>
    </row>
    <row r="24" spans="1:5" x14ac:dyDescent="0.2">
      <c r="A24" s="395" t="s">
        <v>43</v>
      </c>
      <c r="B24" s="2">
        <f>'5-Enrollment Projection'!E24</f>
        <v>280</v>
      </c>
      <c r="C24" s="805">
        <f t="shared" si="0"/>
        <v>30</v>
      </c>
      <c r="D24" s="602">
        <f>B46+(C24*B47)</f>
        <v>3262.5</v>
      </c>
      <c r="E24" s="397"/>
    </row>
    <row r="25" spans="1:5" x14ac:dyDescent="0.2">
      <c r="A25" s="528" t="s">
        <v>818</v>
      </c>
      <c r="B25" s="415">
        <f>'6-Schools'!B26</f>
        <v>406</v>
      </c>
      <c r="C25" s="805">
        <f t="shared" si="0"/>
        <v>156</v>
      </c>
      <c r="D25" s="602">
        <f>B46+(C25*B47)</f>
        <v>4037.4</v>
      </c>
      <c r="E25" s="397"/>
    </row>
    <row r="26" spans="1:5" x14ac:dyDescent="0.2">
      <c r="A26" s="395" t="s">
        <v>44</v>
      </c>
      <c r="B26" s="2">
        <f>'5-Enrollment Projection'!E26</f>
        <v>348</v>
      </c>
      <c r="C26" s="805">
        <f t="shared" si="0"/>
        <v>98</v>
      </c>
      <c r="D26" s="602">
        <f>B46+(C26*B47)</f>
        <v>3680.7</v>
      </c>
      <c r="E26" s="397"/>
    </row>
    <row r="27" spans="1:5" x14ac:dyDescent="0.2">
      <c r="A27" s="395" t="s">
        <v>45</v>
      </c>
      <c r="B27" s="2">
        <f>'5-Enrollment Projection'!E27</f>
        <v>314</v>
      </c>
      <c r="C27" s="805">
        <f t="shared" si="0"/>
        <v>64</v>
      </c>
      <c r="D27" s="602">
        <f>B46+(C27*B47)</f>
        <v>3471.6</v>
      </c>
      <c r="E27" s="397"/>
    </row>
    <row r="28" spans="1:5" x14ac:dyDescent="0.2">
      <c r="A28" s="16" t="s">
        <v>46</v>
      </c>
      <c r="B28" s="17">
        <f>SUM(B14:B27)</f>
        <v>4855</v>
      </c>
      <c r="C28" s="17"/>
      <c r="D28" s="603">
        <f>SUM(D14:D27)</f>
        <v>51677.399999999994</v>
      </c>
      <c r="E28" s="493"/>
    </row>
    <row r="29" spans="1:5" x14ac:dyDescent="0.2">
      <c r="D29" s="602"/>
      <c r="E29" s="397"/>
    </row>
    <row r="30" spans="1:5" x14ac:dyDescent="0.2">
      <c r="A30" s="395" t="s">
        <v>47</v>
      </c>
      <c r="B30" s="2">
        <f>'5-Enrollment Projection'!E31</f>
        <v>647</v>
      </c>
      <c r="C30" s="2">
        <f>IF(B30-250&gt;0,B30-250,0)</f>
        <v>397</v>
      </c>
      <c r="D30" s="602">
        <f>B50+(C30*B51)</f>
        <v>7894.3099999999995</v>
      </c>
      <c r="E30" s="397"/>
    </row>
    <row r="31" spans="1:5" x14ac:dyDescent="0.2">
      <c r="A31" s="395" t="s">
        <v>48</v>
      </c>
      <c r="B31" s="2">
        <f>'5-Enrollment Projection'!E32</f>
        <v>663</v>
      </c>
      <c r="C31" s="2">
        <f>IF(B31-250&gt;0,B31-250,0)</f>
        <v>413</v>
      </c>
      <c r="D31" s="602">
        <f>B50+(C31*B51)</f>
        <v>8041.99</v>
      </c>
      <c r="E31" s="397"/>
    </row>
    <row r="32" spans="1:5" x14ac:dyDescent="0.2">
      <c r="A32" s="16" t="s">
        <v>49</v>
      </c>
      <c r="B32" s="17">
        <f>SUM(B30:B31)</f>
        <v>1310</v>
      </c>
      <c r="C32" s="17"/>
      <c r="D32" s="603">
        <f>SUM(D30:D31)</f>
        <v>15936.3</v>
      </c>
      <c r="E32" s="493"/>
    </row>
    <row r="33" spans="1:5" x14ac:dyDescent="0.2">
      <c r="D33" s="602"/>
      <c r="E33" s="397"/>
    </row>
    <row r="34" spans="1:5" x14ac:dyDescent="0.2">
      <c r="A34" s="395" t="s">
        <v>50</v>
      </c>
      <c r="B34" s="2">
        <f>'5-Enrollment Projection'!E36</f>
        <v>145</v>
      </c>
      <c r="C34" s="2">
        <f t="shared" ref="C34:C37" si="1">IF(B34-250&gt;0,B34-250,0)</f>
        <v>0</v>
      </c>
      <c r="D34" s="602">
        <f>B50+(C34*B51)</f>
        <v>4230</v>
      </c>
      <c r="E34" s="397"/>
    </row>
    <row r="35" spans="1:5" x14ac:dyDescent="0.2">
      <c r="A35" s="395" t="s">
        <v>51</v>
      </c>
      <c r="B35" s="2">
        <f>'5-Enrollment Projection'!E37</f>
        <v>1057</v>
      </c>
      <c r="C35" s="2">
        <f t="shared" si="1"/>
        <v>807</v>
      </c>
      <c r="D35" s="602">
        <f>B50+(C35*B51)</f>
        <v>11678.61</v>
      </c>
      <c r="E35" s="397"/>
    </row>
    <row r="36" spans="1:5" x14ac:dyDescent="0.2">
      <c r="A36" s="395" t="s">
        <v>871</v>
      </c>
      <c r="B36" s="2">
        <f>'5-Enrollment Projection'!E38</f>
        <v>1135</v>
      </c>
      <c r="C36" s="2">
        <f t="shared" si="1"/>
        <v>885</v>
      </c>
      <c r="D36" s="604">
        <f>B50+(C36*B51)</f>
        <v>12398.55</v>
      </c>
      <c r="E36" s="397"/>
    </row>
    <row r="37" spans="1:5" x14ac:dyDescent="0.2">
      <c r="A37" s="395" t="s">
        <v>52</v>
      </c>
      <c r="B37" s="2">
        <f>'5-Enrollment Projection'!E39</f>
        <v>192</v>
      </c>
      <c r="C37" s="2">
        <f t="shared" si="1"/>
        <v>0</v>
      </c>
      <c r="D37" s="602">
        <f>B50+(C37*B51)</f>
        <v>4230</v>
      </c>
      <c r="E37" s="397"/>
    </row>
    <row r="38" spans="1:5" x14ac:dyDescent="0.2">
      <c r="A38" s="16" t="s">
        <v>53</v>
      </c>
      <c r="B38" s="17">
        <f>SUM(B34:B37)</f>
        <v>2529</v>
      </c>
      <c r="C38" s="17"/>
      <c r="D38" s="603">
        <f>SUM(D34:D37)</f>
        <v>32537.16</v>
      </c>
      <c r="E38" s="493"/>
    </row>
    <row r="39" spans="1:5" x14ac:dyDescent="0.2">
      <c r="D39" s="602"/>
      <c r="E39" s="397"/>
    </row>
    <row r="40" spans="1:5" x14ac:dyDescent="0.2">
      <c r="A40" s="395" t="s">
        <v>728</v>
      </c>
      <c r="B40" s="415" t="s">
        <v>31</v>
      </c>
      <c r="C40" s="415"/>
      <c r="D40" s="602">
        <v>3078</v>
      </c>
      <c r="E40" s="397"/>
    </row>
    <row r="41" spans="1:5" x14ac:dyDescent="0.2">
      <c r="B41" s="415"/>
      <c r="C41" s="415"/>
      <c r="D41" s="602"/>
      <c r="E41" s="397"/>
    </row>
    <row r="42" spans="1:5" x14ac:dyDescent="0.2">
      <c r="A42" s="7" t="s">
        <v>54</v>
      </c>
      <c r="B42" s="18">
        <f>SUM(B12+B28+B32+B38)</f>
        <v>8771</v>
      </c>
      <c r="C42" s="18"/>
      <c r="D42" s="605">
        <f>D12+D28+D32+D38+D40</f>
        <v>112462.86</v>
      </c>
    </row>
    <row r="45" spans="1:5" x14ac:dyDescent="0.2">
      <c r="A45" s="411" t="s">
        <v>758</v>
      </c>
      <c r="B45" s="396"/>
      <c r="C45" s="396"/>
      <c r="D45" s="395"/>
    </row>
    <row r="46" spans="1:5" x14ac:dyDescent="0.2">
      <c r="A46" s="395" t="s">
        <v>759</v>
      </c>
      <c r="B46" s="557">
        <v>3078</v>
      </c>
      <c r="C46" s="368"/>
      <c r="D46" s="395" t="s">
        <v>709</v>
      </c>
    </row>
    <row r="47" spans="1:5" x14ac:dyDescent="0.2">
      <c r="B47" s="396">
        <v>6.15</v>
      </c>
      <c r="C47" s="396"/>
      <c r="D47" s="395" t="s">
        <v>760</v>
      </c>
    </row>
    <row r="49" spans="1:4" x14ac:dyDescent="0.2">
      <c r="A49" s="162" t="s">
        <v>707</v>
      </c>
      <c r="B49" s="396"/>
      <c r="C49" s="396"/>
      <c r="D49" s="395"/>
    </row>
    <row r="50" spans="1:4" x14ac:dyDescent="0.2">
      <c r="A50" s="395" t="s">
        <v>759</v>
      </c>
      <c r="B50" s="557">
        <v>4230</v>
      </c>
      <c r="C50" s="368"/>
      <c r="D50" s="395" t="s">
        <v>709</v>
      </c>
    </row>
    <row r="51" spans="1:4" x14ac:dyDescent="0.2">
      <c r="B51" s="396">
        <v>9.23</v>
      </c>
      <c r="C51" s="396"/>
      <c r="D51" s="395" t="s">
        <v>760</v>
      </c>
    </row>
  </sheetData>
  <mergeCells count="2">
    <mergeCell ref="A1:D1"/>
    <mergeCell ref="A2:D2"/>
  </mergeCells>
  <pageMargins left="0.7" right="0.7" top="0.75" bottom="0.75" header="0.3" footer="0.3"/>
  <pageSetup scale="95" firstPageNumber="20" orientation="portrait" useFirstPageNumber="1" r:id="rId1"/>
  <headerFooter>
    <oddFooter>&amp;L&amp;6&amp;Z&amp;F&amp;C&amp;6Page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6"/>
  <sheetViews>
    <sheetView topLeftCell="A22" workbookViewId="0">
      <selection activeCell="A2" sqref="A2:F2"/>
    </sheetView>
  </sheetViews>
  <sheetFormatPr defaultRowHeight="12.75" x14ac:dyDescent="0.2"/>
  <cols>
    <col min="1" max="1" width="26.28515625" style="395" customWidth="1"/>
    <col min="2" max="2" width="13.140625" style="13" customWidth="1"/>
    <col min="3" max="3" width="23.42578125" style="547" customWidth="1"/>
    <col min="4" max="4" width="10.28515625" style="1" bestFit="1" customWidth="1"/>
    <col min="5" max="5" width="10.42578125" style="1" customWidth="1"/>
    <col min="6" max="6" width="10.28515625" style="1" bestFit="1" customWidth="1"/>
    <col min="7" max="16384" width="9.140625" style="395"/>
  </cols>
  <sheetData>
    <row r="1" spans="1:6" ht="18" x14ac:dyDescent="0.25">
      <c r="A1" s="878" t="s">
        <v>1311</v>
      </c>
      <c r="B1" s="878"/>
      <c r="C1" s="878"/>
      <c r="D1" s="878"/>
      <c r="E1" s="878"/>
      <c r="F1" s="878"/>
    </row>
    <row r="2" spans="1:6" x14ac:dyDescent="0.2">
      <c r="A2" s="882" t="s">
        <v>866</v>
      </c>
      <c r="B2" s="882"/>
      <c r="C2" s="882"/>
      <c r="D2" s="882"/>
      <c r="E2" s="882"/>
      <c r="F2" s="882"/>
    </row>
    <row r="3" spans="1:6" x14ac:dyDescent="0.2">
      <c r="A3" s="559"/>
      <c r="B3" s="559"/>
      <c r="C3" s="543"/>
      <c r="D3" s="559"/>
      <c r="E3" s="559"/>
      <c r="F3" s="559"/>
    </row>
    <row r="4" spans="1:6" ht="27" customHeight="1" x14ac:dyDescent="0.2">
      <c r="A4" s="888" t="s">
        <v>847</v>
      </c>
      <c r="B4" s="889"/>
      <c r="C4" s="890"/>
      <c r="D4" s="564"/>
      <c r="E4" s="564"/>
      <c r="F4" s="564"/>
    </row>
    <row r="5" spans="1:6" x14ac:dyDescent="0.2">
      <c r="A5" s="57"/>
      <c r="B5" s="145"/>
      <c r="C5" s="565"/>
      <c r="F5" s="395"/>
    </row>
    <row r="6" spans="1:6" x14ac:dyDescent="0.2">
      <c r="A6" s="59" t="s">
        <v>9</v>
      </c>
      <c r="B6" s="566" t="s">
        <v>59</v>
      </c>
      <c r="C6" s="886" t="s">
        <v>851</v>
      </c>
      <c r="D6" s="395"/>
      <c r="E6" s="395"/>
      <c r="F6" s="395"/>
    </row>
    <row r="7" spans="1:6" x14ac:dyDescent="0.2">
      <c r="A7" s="567"/>
      <c r="B7" s="147" t="s">
        <v>61</v>
      </c>
      <c r="C7" s="887"/>
      <c r="D7" s="395"/>
      <c r="E7" s="395"/>
      <c r="F7" s="395"/>
    </row>
    <row r="8" spans="1:6" x14ac:dyDescent="0.2">
      <c r="A8" s="395" t="s">
        <v>30</v>
      </c>
      <c r="B8" s="13">
        <f>'5-Enrollment Projection'!E8</f>
        <v>36</v>
      </c>
      <c r="C8" s="1">
        <f>$C$42</f>
        <v>526</v>
      </c>
      <c r="D8" s="395"/>
      <c r="E8" s="395"/>
      <c r="F8" s="395"/>
    </row>
    <row r="9" spans="1:6" x14ac:dyDescent="0.2">
      <c r="A9" s="395" t="s">
        <v>32</v>
      </c>
      <c r="B9" s="13">
        <f>'5-Enrollment Projection'!E9</f>
        <v>25</v>
      </c>
      <c r="C9" s="1">
        <f t="shared" ref="C9:C10" si="0">$C$42</f>
        <v>526</v>
      </c>
      <c r="D9" s="395"/>
      <c r="E9" s="395"/>
      <c r="F9" s="395"/>
    </row>
    <row r="10" spans="1:6" x14ac:dyDescent="0.2">
      <c r="A10" s="395" t="s">
        <v>33</v>
      </c>
      <c r="B10" s="13">
        <f>'5-Enrollment Projection'!E10</f>
        <v>16</v>
      </c>
      <c r="C10" s="1">
        <f t="shared" si="0"/>
        <v>526</v>
      </c>
      <c r="D10" s="395"/>
      <c r="E10" s="395"/>
      <c r="F10" s="395"/>
    </row>
    <row r="11" spans="1:6" x14ac:dyDescent="0.2">
      <c r="A11" s="5" t="s">
        <v>34</v>
      </c>
      <c r="B11" s="35">
        <f>SUM(B8:B10)</f>
        <v>77</v>
      </c>
      <c r="C11" s="6">
        <f>SUM(C8:C10)</f>
        <v>1578</v>
      </c>
      <c r="D11" s="395"/>
      <c r="E11" s="395"/>
      <c r="F11" s="395"/>
    </row>
    <row r="12" spans="1:6" x14ac:dyDescent="0.2">
      <c r="C12" s="1"/>
      <c r="D12" s="395"/>
      <c r="E12" s="395"/>
      <c r="F12" s="395"/>
    </row>
    <row r="13" spans="1:6" x14ac:dyDescent="0.2">
      <c r="A13" s="395" t="s">
        <v>693</v>
      </c>
      <c r="B13" s="13">
        <f>'5-Enrollment Projection'!E14</f>
        <v>417</v>
      </c>
      <c r="C13" s="1">
        <f>IF(B13&lt;250,$C$44,$C$45)</f>
        <v>658</v>
      </c>
      <c r="D13" s="395"/>
      <c r="E13" s="395"/>
      <c r="F13" s="395"/>
    </row>
    <row r="14" spans="1:6" x14ac:dyDescent="0.2">
      <c r="A14" s="395" t="s">
        <v>35</v>
      </c>
      <c r="B14" s="13">
        <f>'5-Enrollment Projection'!E15</f>
        <v>372</v>
      </c>
      <c r="C14" s="1">
        <f t="shared" ref="C14:C26" si="1">IF(B14&lt;250,$C$44,$C$45)</f>
        <v>658</v>
      </c>
      <c r="D14" s="395"/>
      <c r="E14" s="395"/>
      <c r="F14" s="395"/>
    </row>
    <row r="15" spans="1:6" x14ac:dyDescent="0.2">
      <c r="A15" s="395" t="s">
        <v>36</v>
      </c>
      <c r="B15" s="13">
        <f>'5-Enrollment Projection'!E16</f>
        <v>209</v>
      </c>
      <c r="C15" s="1">
        <f t="shared" si="1"/>
        <v>461</v>
      </c>
      <c r="D15" s="395"/>
      <c r="E15" s="395"/>
      <c r="F15" s="395"/>
    </row>
    <row r="16" spans="1:6" x14ac:dyDescent="0.2">
      <c r="A16" s="395" t="s">
        <v>37</v>
      </c>
      <c r="B16" s="13">
        <f>'5-Enrollment Projection'!E17</f>
        <v>408</v>
      </c>
      <c r="C16" s="1">
        <f t="shared" si="1"/>
        <v>658</v>
      </c>
      <c r="D16" s="395"/>
      <c r="E16" s="395"/>
      <c r="F16" s="395"/>
    </row>
    <row r="17" spans="1:6" x14ac:dyDescent="0.2">
      <c r="A17" s="395" t="s">
        <v>38</v>
      </c>
      <c r="B17" s="13">
        <f>'5-Enrollment Projection'!E18</f>
        <v>440</v>
      </c>
      <c r="C17" s="1">
        <f t="shared" si="1"/>
        <v>658</v>
      </c>
      <c r="D17" s="395"/>
      <c r="E17" s="395"/>
      <c r="F17" s="395"/>
    </row>
    <row r="18" spans="1:6" x14ac:dyDescent="0.2">
      <c r="A18" s="395" t="s">
        <v>39</v>
      </c>
      <c r="B18" s="13">
        <f>'5-Enrollment Projection'!E19</f>
        <v>259</v>
      </c>
      <c r="C18" s="1">
        <f t="shared" si="1"/>
        <v>658</v>
      </c>
      <c r="D18" s="395"/>
      <c r="E18" s="395"/>
      <c r="F18" s="395"/>
    </row>
    <row r="19" spans="1:6" x14ac:dyDescent="0.2">
      <c r="A19" s="395" t="s">
        <v>40</v>
      </c>
      <c r="B19" s="13">
        <f>'5-Enrollment Projection'!E20</f>
        <v>333</v>
      </c>
      <c r="C19" s="1">
        <f t="shared" si="1"/>
        <v>658</v>
      </c>
      <c r="D19" s="395"/>
      <c r="E19" s="395"/>
      <c r="F19" s="395"/>
    </row>
    <row r="20" spans="1:6" x14ac:dyDescent="0.2">
      <c r="A20" s="395" t="s">
        <v>667</v>
      </c>
      <c r="B20" s="13">
        <f>'5-Enrollment Projection'!E21</f>
        <v>350</v>
      </c>
      <c r="C20" s="1">
        <f t="shared" si="1"/>
        <v>658</v>
      </c>
      <c r="D20" s="395"/>
      <c r="E20" s="395"/>
      <c r="F20" s="395"/>
    </row>
    <row r="21" spans="1:6" x14ac:dyDescent="0.2">
      <c r="A21" s="395" t="s">
        <v>41</v>
      </c>
      <c r="B21" s="13">
        <f>'5-Enrollment Projection'!E22</f>
        <v>410</v>
      </c>
      <c r="C21" s="1">
        <f t="shared" si="1"/>
        <v>658</v>
      </c>
      <c r="D21" s="395"/>
      <c r="E21" s="395"/>
      <c r="F21" s="395"/>
    </row>
    <row r="22" spans="1:6" x14ac:dyDescent="0.2">
      <c r="A22" s="395" t="s">
        <v>42</v>
      </c>
      <c r="B22" s="13">
        <f>'5-Enrollment Projection'!E23</f>
        <v>309</v>
      </c>
      <c r="C22" s="1">
        <f t="shared" si="1"/>
        <v>658</v>
      </c>
      <c r="D22" s="395"/>
      <c r="E22" s="395"/>
      <c r="F22" s="395"/>
    </row>
    <row r="23" spans="1:6" x14ac:dyDescent="0.2">
      <c r="A23" s="395" t="s">
        <v>43</v>
      </c>
      <c r="B23" s="13">
        <f>'5-Enrollment Projection'!E24</f>
        <v>280</v>
      </c>
      <c r="C23" s="1">
        <f t="shared" si="1"/>
        <v>658</v>
      </c>
      <c r="D23" s="395"/>
      <c r="E23" s="395"/>
      <c r="F23" s="395"/>
    </row>
    <row r="24" spans="1:6" x14ac:dyDescent="0.2">
      <c r="A24" s="395" t="s">
        <v>818</v>
      </c>
      <c r="B24" s="13">
        <f>'6-Schools'!B26</f>
        <v>406</v>
      </c>
      <c r="C24" s="1">
        <f t="shared" si="1"/>
        <v>658</v>
      </c>
      <c r="D24" s="395"/>
      <c r="E24" s="395"/>
      <c r="F24" s="395"/>
    </row>
    <row r="25" spans="1:6" x14ac:dyDescent="0.2">
      <c r="A25" s="395" t="s">
        <v>44</v>
      </c>
      <c r="B25" s="13">
        <f>'5-Enrollment Projection'!E26</f>
        <v>348</v>
      </c>
      <c r="C25" s="1">
        <f t="shared" si="1"/>
        <v>658</v>
      </c>
      <c r="D25" s="395"/>
      <c r="E25" s="395"/>
      <c r="F25" s="395"/>
    </row>
    <row r="26" spans="1:6" x14ac:dyDescent="0.2">
      <c r="A26" s="395" t="s">
        <v>45</v>
      </c>
      <c r="B26" s="13">
        <f>'5-Enrollment Projection'!E27</f>
        <v>314</v>
      </c>
      <c r="C26" s="1">
        <f t="shared" si="1"/>
        <v>658</v>
      </c>
      <c r="D26" s="395"/>
      <c r="E26" s="395"/>
      <c r="F26" s="395"/>
    </row>
    <row r="27" spans="1:6" x14ac:dyDescent="0.2">
      <c r="A27" s="5" t="s">
        <v>46</v>
      </c>
      <c r="B27" s="35">
        <f>SUM(B13:B26)</f>
        <v>4855</v>
      </c>
      <c r="C27" s="6">
        <f>SUM(C13:C26)</f>
        <v>9015</v>
      </c>
      <c r="D27" s="395"/>
      <c r="E27" s="395"/>
      <c r="F27" s="395"/>
    </row>
    <row r="28" spans="1:6" x14ac:dyDescent="0.2">
      <c r="C28" s="1"/>
      <c r="D28" s="395"/>
      <c r="E28" s="395"/>
      <c r="F28" s="395"/>
    </row>
    <row r="29" spans="1:6" x14ac:dyDescent="0.2">
      <c r="A29" s="395" t="s">
        <v>47</v>
      </c>
      <c r="B29" s="13">
        <f>'5-Enrollment Projection'!E31</f>
        <v>647</v>
      </c>
      <c r="C29" s="1">
        <f>$C$46</f>
        <v>658</v>
      </c>
      <c r="D29" s="395"/>
      <c r="E29" s="395"/>
      <c r="F29" s="395"/>
    </row>
    <row r="30" spans="1:6" x14ac:dyDescent="0.2">
      <c r="A30" s="395" t="s">
        <v>48</v>
      </c>
      <c r="B30" s="13">
        <f>'5-Enrollment Projection'!E32</f>
        <v>663</v>
      </c>
      <c r="C30" s="1">
        <f>$C$46</f>
        <v>658</v>
      </c>
      <c r="D30" s="395"/>
      <c r="E30" s="395"/>
      <c r="F30" s="395"/>
    </row>
    <row r="31" spans="1:6" x14ac:dyDescent="0.2">
      <c r="A31" s="5" t="s">
        <v>49</v>
      </c>
      <c r="B31" s="6">
        <f>SUM(B29:B30)</f>
        <v>1310</v>
      </c>
      <c r="C31" s="6">
        <f>SUM(C29:C30)</f>
        <v>1316</v>
      </c>
      <c r="D31" s="395"/>
      <c r="E31" s="395"/>
      <c r="F31" s="395"/>
    </row>
    <row r="32" spans="1:6" x14ac:dyDescent="0.2">
      <c r="B32" s="1"/>
      <c r="C32" s="1"/>
      <c r="D32" s="395"/>
      <c r="E32" s="395"/>
      <c r="F32" s="395"/>
    </row>
    <row r="33" spans="1:7" x14ac:dyDescent="0.2">
      <c r="A33" s="395" t="s">
        <v>50</v>
      </c>
      <c r="B33" s="13">
        <f>'5-Enrollment Projection'!E36</f>
        <v>145</v>
      </c>
      <c r="C33" s="1">
        <f>C49</f>
        <v>461</v>
      </c>
      <c r="D33" s="395"/>
      <c r="E33" s="395"/>
      <c r="F33" s="395"/>
    </row>
    <row r="34" spans="1:7" x14ac:dyDescent="0.2">
      <c r="A34" s="395" t="s">
        <v>51</v>
      </c>
      <c r="B34" s="13">
        <f>'5-Enrollment Projection'!E37</f>
        <v>1057</v>
      </c>
      <c r="C34" s="1">
        <f>C48</f>
        <v>658</v>
      </c>
      <c r="D34" s="395"/>
      <c r="E34" s="395"/>
      <c r="F34" s="395"/>
    </row>
    <row r="35" spans="1:7" x14ac:dyDescent="0.2">
      <c r="A35" s="395" t="s">
        <v>871</v>
      </c>
      <c r="B35" s="13">
        <f>'5-Enrollment Projection'!E38</f>
        <v>1135</v>
      </c>
      <c r="C35" s="1">
        <f>C48</f>
        <v>658</v>
      </c>
      <c r="D35" s="395"/>
      <c r="E35" s="395"/>
      <c r="F35" s="395"/>
    </row>
    <row r="36" spans="1:7" x14ac:dyDescent="0.2">
      <c r="A36" s="395" t="s">
        <v>52</v>
      </c>
      <c r="B36" s="13">
        <f>'5-Enrollment Projection'!E39</f>
        <v>192</v>
      </c>
      <c r="C36" s="1">
        <f>C50</f>
        <v>461</v>
      </c>
      <c r="D36" s="395"/>
      <c r="E36" s="395"/>
      <c r="F36" s="395"/>
    </row>
    <row r="37" spans="1:7" x14ac:dyDescent="0.2">
      <c r="A37" s="5" t="s">
        <v>53</v>
      </c>
      <c r="B37" s="35">
        <f>SUM(B33:B36)</f>
        <v>2529</v>
      </c>
      <c r="C37" s="6">
        <f>SUM(C33:C36)</f>
        <v>2238</v>
      </c>
      <c r="D37" s="395"/>
      <c r="E37" s="395"/>
      <c r="F37" s="395"/>
    </row>
    <row r="38" spans="1:7" x14ac:dyDescent="0.2">
      <c r="C38" s="1"/>
      <c r="D38" s="395"/>
      <c r="E38" s="395"/>
      <c r="F38" s="395"/>
    </row>
    <row r="39" spans="1:7" x14ac:dyDescent="0.2">
      <c r="A39" s="23" t="s">
        <v>122</v>
      </c>
      <c r="B39" s="36">
        <f>SUM(B11+B27+B31+B37)</f>
        <v>8771</v>
      </c>
      <c r="C39" s="37">
        <f>SUM(C11+C27+C31+C37)</f>
        <v>14147</v>
      </c>
      <c r="D39" s="395"/>
      <c r="E39" s="414"/>
      <c r="F39" s="395"/>
    </row>
    <row r="41" spans="1:7" x14ac:dyDescent="0.2">
      <c r="A41" s="398" t="s">
        <v>127</v>
      </c>
      <c r="B41" s="81"/>
      <c r="C41" s="561"/>
      <c r="D41" s="547"/>
      <c r="G41" s="1"/>
    </row>
    <row r="42" spans="1:7" x14ac:dyDescent="0.2">
      <c r="A42" s="47" t="s">
        <v>136</v>
      </c>
      <c r="B42" s="48"/>
      <c r="C42" s="562">
        <v>526</v>
      </c>
      <c r="D42" s="547"/>
      <c r="G42" s="1"/>
    </row>
    <row r="43" spans="1:7" x14ac:dyDescent="0.2">
      <c r="A43" s="47" t="s">
        <v>137</v>
      </c>
      <c r="B43" s="48"/>
      <c r="C43" s="562"/>
      <c r="D43" s="547"/>
      <c r="G43" s="1"/>
    </row>
    <row r="44" spans="1:7" x14ac:dyDescent="0.2">
      <c r="A44" s="304" t="s">
        <v>751</v>
      </c>
      <c r="B44" s="48"/>
      <c r="C44" s="562">
        <v>461</v>
      </c>
      <c r="D44" s="547"/>
      <c r="G44" s="1"/>
    </row>
    <row r="45" spans="1:7" x14ac:dyDescent="0.2">
      <c r="A45" s="47" t="s">
        <v>141</v>
      </c>
      <c r="B45" s="48"/>
      <c r="C45" s="562">
        <v>658</v>
      </c>
      <c r="D45" s="547"/>
      <c r="G45" s="1"/>
    </row>
    <row r="46" spans="1:7" x14ac:dyDescent="0.2">
      <c r="A46" s="47" t="s">
        <v>850</v>
      </c>
      <c r="B46" s="48"/>
      <c r="C46" s="562">
        <v>658</v>
      </c>
      <c r="D46" s="547"/>
      <c r="G46" s="1"/>
    </row>
    <row r="47" spans="1:7" x14ac:dyDescent="0.2">
      <c r="A47" s="47" t="s">
        <v>138</v>
      </c>
      <c r="B47" s="48"/>
      <c r="C47" s="562"/>
      <c r="D47" s="547"/>
      <c r="G47" s="1"/>
    </row>
    <row r="48" spans="1:7" x14ac:dyDescent="0.2">
      <c r="A48" s="47" t="s">
        <v>869</v>
      </c>
      <c r="B48" s="48"/>
      <c r="C48" s="562">
        <v>658</v>
      </c>
      <c r="D48" s="547"/>
      <c r="G48" s="1"/>
    </row>
    <row r="49" spans="1:7" x14ac:dyDescent="0.2">
      <c r="A49" s="47" t="s">
        <v>286</v>
      </c>
      <c r="B49" s="48"/>
      <c r="C49" s="562">
        <v>461</v>
      </c>
      <c r="D49" s="547"/>
      <c r="G49" s="1"/>
    </row>
    <row r="50" spans="1:7" x14ac:dyDescent="0.2">
      <c r="A50" s="49" t="s">
        <v>139</v>
      </c>
      <c r="B50" s="50"/>
      <c r="C50" s="563">
        <v>461</v>
      </c>
      <c r="D50" s="547"/>
      <c r="G50" s="1"/>
    </row>
    <row r="52" spans="1:7" x14ac:dyDescent="0.2">
      <c r="A52" s="395" t="s">
        <v>84</v>
      </c>
    </row>
    <row r="53" spans="1:7" x14ac:dyDescent="0.2">
      <c r="A53" s="387" t="s">
        <v>848</v>
      </c>
    </row>
    <row r="54" spans="1:7" x14ac:dyDescent="0.2">
      <c r="A54" s="387" t="s">
        <v>849</v>
      </c>
    </row>
    <row r="55" spans="1:7" x14ac:dyDescent="0.2">
      <c r="A55" s="585" t="s">
        <v>879</v>
      </c>
    </row>
    <row r="56" spans="1:7" x14ac:dyDescent="0.2">
      <c r="A56" s="585" t="s">
        <v>941</v>
      </c>
    </row>
  </sheetData>
  <mergeCells count="4">
    <mergeCell ref="A1:F1"/>
    <mergeCell ref="A2:F2"/>
    <mergeCell ref="C6:C7"/>
    <mergeCell ref="A4:C4"/>
  </mergeCells>
  <pageMargins left="0.7" right="0.7" top="0.75" bottom="0.75" header="0.3" footer="0.3"/>
  <pageSetup scale="95" firstPageNumber="12" orientation="portrait" useFirstPageNumber="1" r:id="rId1"/>
  <headerFooter>
    <oddFooter>&amp;L&amp;8&amp;Z&amp;F&amp;F  &amp;A&amp;C&amp;8Page &amp;P&amp;R&amp;8&amp;D &amp;T</oddFooter>
  </headerFooter>
  <ignoredErrors>
    <ignoredError sqref="C35"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5"/>
  <sheetViews>
    <sheetView topLeftCell="A10" workbookViewId="0">
      <selection activeCell="B45" sqref="B45"/>
    </sheetView>
  </sheetViews>
  <sheetFormatPr defaultRowHeight="12.75" x14ac:dyDescent="0.2"/>
  <cols>
    <col min="1" max="1" width="11.42578125" customWidth="1"/>
    <col min="2" max="2" width="33" customWidth="1"/>
    <col min="3" max="3" width="22.7109375" bestFit="1" customWidth="1"/>
    <col min="4" max="4" width="12.85546875" style="425" customWidth="1"/>
    <col min="5" max="5" width="11.7109375" style="425" customWidth="1"/>
    <col min="6" max="6" width="22.7109375" bestFit="1" customWidth="1"/>
    <col min="7" max="7" width="39.42578125" bestFit="1" customWidth="1"/>
  </cols>
  <sheetData>
    <row r="1" spans="1:7" ht="18" x14ac:dyDescent="0.25">
      <c r="A1" s="878" t="s">
        <v>1310</v>
      </c>
      <c r="B1" s="878"/>
      <c r="C1" s="878"/>
      <c r="D1" s="878"/>
      <c r="E1" s="878"/>
    </row>
    <row r="2" spans="1:7" x14ac:dyDescent="0.2">
      <c r="A2" s="806"/>
      <c r="B2" s="806"/>
      <c r="C2" s="806"/>
      <c r="D2" s="806"/>
      <c r="E2" s="806"/>
    </row>
    <row r="3" spans="1:7" x14ac:dyDescent="0.2">
      <c r="A3" s="180"/>
      <c r="B3" s="180"/>
      <c r="C3" s="180"/>
      <c r="D3" s="668"/>
      <c r="E3" s="668"/>
    </row>
    <row r="4" spans="1:7" x14ac:dyDescent="0.2">
      <c r="A4" s="179"/>
      <c r="B4" s="180"/>
      <c r="C4" s="180"/>
      <c r="D4" s="668"/>
      <c r="E4" s="668"/>
    </row>
    <row r="5" spans="1:7" x14ac:dyDescent="0.2">
      <c r="B5" s="179"/>
      <c r="C5" s="180"/>
      <c r="D5" s="668"/>
      <c r="E5" s="668"/>
    </row>
    <row r="6" spans="1:7" x14ac:dyDescent="0.2">
      <c r="A6" s="180"/>
      <c r="B6" s="180"/>
      <c r="C6" s="180"/>
      <c r="D6" s="668"/>
      <c r="E6" s="668"/>
    </row>
    <row r="7" spans="1:7" x14ac:dyDescent="0.2">
      <c r="A7" s="46"/>
      <c r="B7" s="81"/>
      <c r="C7" s="81"/>
      <c r="D7" s="669"/>
      <c r="E7" s="669"/>
    </row>
    <row r="8" spans="1:7" x14ac:dyDescent="0.2">
      <c r="A8" s="2" t="s">
        <v>9</v>
      </c>
      <c r="B8" s="891" t="s">
        <v>245</v>
      </c>
      <c r="C8" s="891"/>
      <c r="D8" s="617" t="s">
        <v>67</v>
      </c>
      <c r="E8" s="670" t="s">
        <v>9</v>
      </c>
      <c r="F8" s="415" t="s">
        <v>293</v>
      </c>
      <c r="G8" t="s">
        <v>955</v>
      </c>
    </row>
    <row r="9" spans="1:7" x14ac:dyDescent="0.2">
      <c r="A9" s="51"/>
      <c r="B9" s="50"/>
      <c r="C9" s="50"/>
      <c r="D9" s="628"/>
      <c r="E9" s="618" t="s">
        <v>26</v>
      </c>
      <c r="F9" s="50"/>
      <c r="G9" s="50"/>
    </row>
    <row r="10" spans="1:7" x14ac:dyDescent="0.2">
      <c r="A10" s="204" t="s">
        <v>123</v>
      </c>
      <c r="B10" s="287" t="s">
        <v>934</v>
      </c>
      <c r="C10" s="287" t="s">
        <v>1014</v>
      </c>
      <c r="D10" s="671">
        <v>113250</v>
      </c>
      <c r="E10" s="672">
        <f>D10</f>
        <v>113250</v>
      </c>
      <c r="F10" s="397" t="s">
        <v>935</v>
      </c>
    </row>
    <row r="12" spans="1:7" x14ac:dyDescent="0.2">
      <c r="A12" t="s">
        <v>47</v>
      </c>
      <c r="B12" t="s">
        <v>57</v>
      </c>
      <c r="C12" t="s">
        <v>377</v>
      </c>
      <c r="D12" s="425">
        <v>1425</v>
      </c>
      <c r="F12" s="397" t="s">
        <v>762</v>
      </c>
      <c r="G12" s="397"/>
    </row>
    <row r="13" spans="1:7" x14ac:dyDescent="0.2">
      <c r="B13" s="832" t="s">
        <v>0</v>
      </c>
      <c r="C13" s="832" t="s">
        <v>377</v>
      </c>
      <c r="D13" s="833">
        <f>F48</f>
        <v>16473</v>
      </c>
      <c r="F13" s="397" t="s">
        <v>763</v>
      </c>
    </row>
    <row r="14" spans="1:7" x14ac:dyDescent="0.2">
      <c r="E14" s="425">
        <f>SUM(D12:D13)</f>
        <v>17898</v>
      </c>
    </row>
    <row r="15" spans="1:7" x14ac:dyDescent="0.2">
      <c r="A15" t="s">
        <v>48</v>
      </c>
      <c r="B15" t="s">
        <v>57</v>
      </c>
      <c r="C15" t="s">
        <v>377</v>
      </c>
      <c r="D15" s="425">
        <v>1425</v>
      </c>
      <c r="F15" s="397" t="s">
        <v>764</v>
      </c>
    </row>
    <row r="16" spans="1:7" x14ac:dyDescent="0.2">
      <c r="B16" s="832" t="s">
        <v>0</v>
      </c>
      <c r="C16" s="832" t="s">
        <v>377</v>
      </c>
      <c r="D16" s="833">
        <f>F49</f>
        <v>16880</v>
      </c>
      <c r="F16" s="397" t="s">
        <v>765</v>
      </c>
    </row>
    <row r="17" spans="1:7" x14ac:dyDescent="0.2">
      <c r="E17" s="425">
        <f>SUM(D15:D16)</f>
        <v>18305</v>
      </c>
    </row>
    <row r="18" spans="1:7" x14ac:dyDescent="0.2">
      <c r="A18" t="s">
        <v>50</v>
      </c>
      <c r="B18" t="s">
        <v>55</v>
      </c>
      <c r="C18" t="s">
        <v>377</v>
      </c>
      <c r="D18" s="425">
        <v>190</v>
      </c>
      <c r="F18" s="417" t="s">
        <v>766</v>
      </c>
    </row>
    <row r="19" spans="1:7" x14ac:dyDescent="0.2">
      <c r="B19" t="s">
        <v>56</v>
      </c>
      <c r="C19" t="s">
        <v>377</v>
      </c>
      <c r="D19" s="425">
        <v>370</v>
      </c>
      <c r="F19" s="417" t="s">
        <v>767</v>
      </c>
    </row>
    <row r="20" spans="1:7" x14ac:dyDescent="0.2">
      <c r="B20" t="s">
        <v>57</v>
      </c>
      <c r="C20" t="s">
        <v>377</v>
      </c>
      <c r="D20" s="425">
        <v>1900</v>
      </c>
      <c r="F20" s="417" t="s">
        <v>768</v>
      </c>
    </row>
    <row r="21" spans="1:7" x14ac:dyDescent="0.2">
      <c r="B21" s="356" t="s">
        <v>662</v>
      </c>
      <c r="C21" s="356" t="s">
        <v>787</v>
      </c>
      <c r="D21" s="425">
        <v>5000</v>
      </c>
      <c r="F21" s="417" t="s">
        <v>652</v>
      </c>
      <c r="G21" t="s">
        <v>954</v>
      </c>
    </row>
    <row r="22" spans="1:7" x14ac:dyDescent="0.2">
      <c r="B22" t="s">
        <v>291</v>
      </c>
      <c r="C22" t="s">
        <v>377</v>
      </c>
      <c r="D22" s="628">
        <v>3735</v>
      </c>
      <c r="F22" s="417" t="s">
        <v>769</v>
      </c>
      <c r="G22" t="s">
        <v>1015</v>
      </c>
    </row>
    <row r="23" spans="1:7" x14ac:dyDescent="0.2">
      <c r="E23" s="425">
        <f>SUM(D18:D22)</f>
        <v>11195</v>
      </c>
    </row>
    <row r="24" spans="1:7" x14ac:dyDescent="0.2">
      <c r="A24" t="s">
        <v>51</v>
      </c>
      <c r="B24" t="s">
        <v>55</v>
      </c>
      <c r="C24" t="s">
        <v>377</v>
      </c>
      <c r="D24" s="425">
        <v>550</v>
      </c>
      <c r="F24" s="287" t="s">
        <v>770</v>
      </c>
      <c r="G24" s="287"/>
    </row>
    <row r="25" spans="1:7" x14ac:dyDescent="0.2">
      <c r="B25" t="s">
        <v>56</v>
      </c>
      <c r="C25" t="s">
        <v>377</v>
      </c>
      <c r="D25" s="425">
        <v>1095</v>
      </c>
      <c r="F25" s="287" t="s">
        <v>925</v>
      </c>
      <c r="G25" s="287"/>
    </row>
    <row r="26" spans="1:7" x14ac:dyDescent="0.2">
      <c r="B26" t="s">
        <v>57</v>
      </c>
      <c r="C26" t="s">
        <v>377</v>
      </c>
      <c r="D26" s="425">
        <v>3800</v>
      </c>
      <c r="F26" s="397" t="s">
        <v>771</v>
      </c>
      <c r="G26" s="526"/>
    </row>
    <row r="27" spans="1:7" x14ac:dyDescent="0.2">
      <c r="B27" s="356" t="s">
        <v>661</v>
      </c>
      <c r="C27" s="356" t="s">
        <v>787</v>
      </c>
      <c r="D27" s="425">
        <v>2375</v>
      </c>
      <c r="F27" s="287" t="s">
        <v>926</v>
      </c>
      <c r="G27" s="287" t="s">
        <v>952</v>
      </c>
    </row>
    <row r="28" spans="1:7" x14ac:dyDescent="0.2">
      <c r="B28" s="387" t="s">
        <v>790</v>
      </c>
      <c r="C28" s="387" t="s">
        <v>788</v>
      </c>
      <c r="D28" s="425">
        <v>3075</v>
      </c>
      <c r="F28" s="397" t="s">
        <v>773</v>
      </c>
      <c r="G28" s="397" t="s">
        <v>953</v>
      </c>
    </row>
    <row r="29" spans="1:7" x14ac:dyDescent="0.2">
      <c r="B29" s="832" t="s">
        <v>0</v>
      </c>
      <c r="C29" s="832" t="s">
        <v>377</v>
      </c>
      <c r="D29" s="833">
        <f>F50</f>
        <v>26911</v>
      </c>
      <c r="F29" s="287" t="s">
        <v>772</v>
      </c>
    </row>
    <row r="30" spans="1:7" x14ac:dyDescent="0.2">
      <c r="E30" s="425">
        <f>SUM(D24:D29)</f>
        <v>37806</v>
      </c>
    </row>
    <row r="31" spans="1:7" x14ac:dyDescent="0.2">
      <c r="A31" t="s">
        <v>52</v>
      </c>
      <c r="B31" t="s">
        <v>55</v>
      </c>
      <c r="C31" t="s">
        <v>377</v>
      </c>
      <c r="D31" s="623">
        <v>285</v>
      </c>
      <c r="F31" s="287" t="s">
        <v>777</v>
      </c>
      <c r="G31" s="287"/>
    </row>
    <row r="32" spans="1:7" x14ac:dyDescent="0.2">
      <c r="B32" t="s">
        <v>56</v>
      </c>
      <c r="C32" t="s">
        <v>377</v>
      </c>
      <c r="D32" s="623">
        <v>550</v>
      </c>
      <c r="F32" s="287" t="s">
        <v>774</v>
      </c>
      <c r="G32" s="287"/>
    </row>
    <row r="33" spans="1:7" x14ac:dyDescent="0.2">
      <c r="B33" t="s">
        <v>57</v>
      </c>
      <c r="C33" s="131" t="s">
        <v>787</v>
      </c>
      <c r="D33" s="623">
        <v>1900</v>
      </c>
      <c r="F33" s="287" t="s">
        <v>776</v>
      </c>
      <c r="G33" s="287"/>
    </row>
    <row r="34" spans="1:7" s="356" customFormat="1" x14ac:dyDescent="0.2">
      <c r="B34" t="s">
        <v>857</v>
      </c>
      <c r="C34" s="387" t="s">
        <v>789</v>
      </c>
      <c r="D34" s="623">
        <v>3460</v>
      </c>
      <c r="E34" s="425"/>
      <c r="F34" s="287" t="s">
        <v>775</v>
      </c>
    </row>
    <row r="35" spans="1:7" x14ac:dyDescent="0.2">
      <c r="B35" s="832" t="s">
        <v>0</v>
      </c>
      <c r="C35" s="832" t="s">
        <v>377</v>
      </c>
      <c r="D35" s="833">
        <f>F52</f>
        <v>4888</v>
      </c>
      <c r="F35" s="287" t="s">
        <v>777</v>
      </c>
    </row>
    <row r="36" spans="1:7" x14ac:dyDescent="0.2">
      <c r="D36" s="646"/>
      <c r="E36" s="646">
        <f>SUM(D31:D35)</f>
        <v>11083</v>
      </c>
    </row>
    <row r="37" spans="1:7" s="395" customFormat="1" x14ac:dyDescent="0.2">
      <c r="A37" s="395" t="s">
        <v>871</v>
      </c>
      <c r="B37" s="395" t="s">
        <v>55</v>
      </c>
      <c r="C37" s="395" t="s">
        <v>377</v>
      </c>
      <c r="D37" s="646">
        <v>550</v>
      </c>
      <c r="E37" s="425"/>
      <c r="F37" s="395" t="s">
        <v>923</v>
      </c>
    </row>
    <row r="38" spans="1:7" s="395" customFormat="1" x14ac:dyDescent="0.2">
      <c r="B38" s="395" t="s">
        <v>56</v>
      </c>
      <c r="C38" s="395" t="s">
        <v>377</v>
      </c>
      <c r="D38" s="646">
        <v>1095</v>
      </c>
      <c r="E38" s="425"/>
      <c r="F38" s="395" t="s">
        <v>924</v>
      </c>
    </row>
    <row r="39" spans="1:7" s="395" customFormat="1" x14ac:dyDescent="0.2">
      <c r="B39" s="395" t="s">
        <v>57</v>
      </c>
      <c r="C39" s="395" t="s">
        <v>377</v>
      </c>
      <c r="D39" s="646">
        <v>3800</v>
      </c>
      <c r="E39" s="425"/>
      <c r="F39" s="395" t="s">
        <v>928</v>
      </c>
    </row>
    <row r="40" spans="1:7" s="395" customFormat="1" x14ac:dyDescent="0.2">
      <c r="B40" s="395" t="s">
        <v>661</v>
      </c>
      <c r="C40" s="395" t="s">
        <v>787</v>
      </c>
      <c r="D40" s="646">
        <v>2375</v>
      </c>
      <c r="E40" s="425"/>
      <c r="F40" s="395" t="s">
        <v>929</v>
      </c>
      <c r="G40" s="395" t="s">
        <v>952</v>
      </c>
    </row>
    <row r="41" spans="1:7" x14ac:dyDescent="0.2">
      <c r="B41" s="287" t="s">
        <v>790</v>
      </c>
      <c r="C41" s="387" t="s">
        <v>788</v>
      </c>
      <c r="D41" s="646">
        <v>3075</v>
      </c>
      <c r="F41" s="397" t="s">
        <v>778</v>
      </c>
      <c r="G41" s="397" t="s">
        <v>953</v>
      </c>
    </row>
    <row r="42" spans="1:7" s="395" customFormat="1" x14ac:dyDescent="0.2">
      <c r="B42" s="832" t="s">
        <v>0</v>
      </c>
      <c r="C42" s="832" t="s">
        <v>377</v>
      </c>
      <c r="D42" s="833">
        <f>F51</f>
        <v>28897</v>
      </c>
      <c r="E42" s="425"/>
      <c r="F42" s="395" t="s">
        <v>927</v>
      </c>
    </row>
    <row r="43" spans="1:7" x14ac:dyDescent="0.2">
      <c r="E43" s="425">
        <f>SUM(D37:D42)</f>
        <v>39792</v>
      </c>
    </row>
    <row r="45" spans="1:7" x14ac:dyDescent="0.2">
      <c r="C45" s="164" t="s">
        <v>122</v>
      </c>
      <c r="D45" s="673"/>
      <c r="E45" s="673">
        <f>SUM(E10:E44)</f>
        <v>249329</v>
      </c>
    </row>
    <row r="47" spans="1:7" x14ac:dyDescent="0.2">
      <c r="B47" s="892" t="s">
        <v>956</v>
      </c>
      <c r="C47" s="893"/>
      <c r="D47" s="893"/>
      <c r="E47" s="893"/>
      <c r="F47" s="894"/>
    </row>
    <row r="48" spans="1:7" x14ac:dyDescent="0.2">
      <c r="B48" s="834" t="str">
        <f>'5-Enrollment Projection'!A31</f>
        <v>Sage Valley</v>
      </c>
      <c r="C48" s="835">
        <f>'5-Enrollment Projection'!E31</f>
        <v>647</v>
      </c>
      <c r="D48" s="836">
        <f>ROUND($C$55,2)</f>
        <v>25.46</v>
      </c>
      <c r="E48" s="836">
        <f>C48*D48</f>
        <v>16472.62</v>
      </c>
      <c r="F48" s="837">
        <f>ROUND(E48,0)</f>
        <v>16473</v>
      </c>
    </row>
    <row r="49" spans="2:6" x14ac:dyDescent="0.2">
      <c r="B49" s="834" t="str">
        <f>'5-Enrollment Projection'!A32</f>
        <v>Twin Spruce</v>
      </c>
      <c r="C49" s="835">
        <f>'5-Enrollment Projection'!E32</f>
        <v>663</v>
      </c>
      <c r="D49" s="836">
        <f>ROUND($C$55,2)</f>
        <v>25.46</v>
      </c>
      <c r="E49" s="836">
        <f t="shared" ref="E49:E52" si="0">C49*D49</f>
        <v>16879.98</v>
      </c>
      <c r="F49" s="837">
        <f t="shared" ref="F49:F52" si="1">ROUND(E49,0)</f>
        <v>16880</v>
      </c>
    </row>
    <row r="50" spans="2:6" x14ac:dyDescent="0.2">
      <c r="B50" s="834" t="str">
        <f>'5-Enrollment Projection'!A37</f>
        <v>CCHS</v>
      </c>
      <c r="C50" s="835">
        <f>'5-Enrollment Projection'!E37</f>
        <v>1057</v>
      </c>
      <c r="D50" s="836">
        <f t="shared" ref="D50:D52" si="2">ROUND($C$55,2)</f>
        <v>25.46</v>
      </c>
      <c r="E50" s="836">
        <f t="shared" si="0"/>
        <v>26911.22</v>
      </c>
      <c r="F50" s="837">
        <f t="shared" si="1"/>
        <v>26911</v>
      </c>
    </row>
    <row r="51" spans="2:6" x14ac:dyDescent="0.2">
      <c r="B51" s="834" t="str">
        <f>'5-Enrollment Projection'!A38</f>
        <v>TBHS</v>
      </c>
      <c r="C51" s="835">
        <f>'5-Enrollment Projection'!E38</f>
        <v>1135</v>
      </c>
      <c r="D51" s="836">
        <f t="shared" si="2"/>
        <v>25.46</v>
      </c>
      <c r="E51" s="836">
        <f t="shared" si="0"/>
        <v>28897.100000000002</v>
      </c>
      <c r="F51" s="837">
        <f t="shared" si="1"/>
        <v>28897</v>
      </c>
    </row>
    <row r="52" spans="2:6" x14ac:dyDescent="0.2">
      <c r="B52" s="834" t="str">
        <f>'5-Enrollment Projection'!A39</f>
        <v>WJSH</v>
      </c>
      <c r="C52" s="838">
        <f>'5-Enrollment Projection'!E39</f>
        <v>192</v>
      </c>
      <c r="D52" s="836">
        <f t="shared" si="2"/>
        <v>25.46</v>
      </c>
      <c r="E52" s="836">
        <f t="shared" si="0"/>
        <v>4888.32</v>
      </c>
      <c r="F52" s="837">
        <f t="shared" si="1"/>
        <v>4888</v>
      </c>
    </row>
    <row r="53" spans="2:6" x14ac:dyDescent="0.2">
      <c r="B53" s="834"/>
      <c r="C53" s="835">
        <f>SUM(C48:C52)</f>
        <v>3694</v>
      </c>
      <c r="D53" s="836"/>
      <c r="E53" s="836"/>
      <c r="F53" s="837"/>
    </row>
    <row r="54" spans="2:6" x14ac:dyDescent="0.2">
      <c r="B54" s="834" t="s">
        <v>922</v>
      </c>
      <c r="C54" s="835">
        <v>94050</v>
      </c>
      <c r="D54" s="836"/>
      <c r="E54" s="836"/>
      <c r="F54" s="839"/>
    </row>
    <row r="55" spans="2:6" x14ac:dyDescent="0.2">
      <c r="B55" s="840"/>
      <c r="C55" s="838">
        <f>C54/C53</f>
        <v>25.460205739036276</v>
      </c>
      <c r="D55" s="833"/>
      <c r="E55" s="833"/>
      <c r="F55" s="841"/>
    </row>
  </sheetData>
  <mergeCells count="3">
    <mergeCell ref="A1:E1"/>
    <mergeCell ref="B8:C8"/>
    <mergeCell ref="B47:F47"/>
  </mergeCells>
  <phoneticPr fontId="22" type="noConversion"/>
  <printOptions horizontalCentered="1"/>
  <pageMargins left="0.7" right="0.7" top="0.75" bottom="0.75" header="0.3" footer="0.3"/>
  <pageSetup scale="80" firstPageNumber="14" fitToHeight="0" orientation="portrait" useFirstPageNumber="1" r:id="rId1"/>
  <headerFooter alignWithMargins="0">
    <oddFooter>&amp;L&amp;6&amp;Z&amp;F   &amp;A&amp;C&amp;6                                                                                                          Page &amp;P&amp;R&amp;6&amp;D   &amp;T</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L66"/>
  <sheetViews>
    <sheetView zoomScaleNormal="100" workbookViewId="0">
      <selection activeCell="C8" sqref="C8"/>
    </sheetView>
  </sheetViews>
  <sheetFormatPr defaultRowHeight="12.75" x14ac:dyDescent="0.2"/>
  <cols>
    <col min="1" max="1" width="21.28515625" customWidth="1"/>
    <col min="2" max="2" width="10.140625" style="26" bestFit="1" customWidth="1"/>
    <col min="3" max="3" width="10.85546875" style="20" bestFit="1" customWidth="1"/>
    <col min="4" max="4" width="10.7109375" style="27" bestFit="1" customWidth="1"/>
    <col min="5" max="5" width="10.7109375" style="425" bestFit="1" customWidth="1"/>
    <col min="6" max="6" width="9.7109375" style="20" bestFit="1" customWidth="1"/>
    <col min="7" max="7" width="10.7109375" style="20" bestFit="1" customWidth="1"/>
    <col min="8" max="8" width="11.140625" style="425" bestFit="1" customWidth="1"/>
  </cols>
  <sheetData>
    <row r="1" spans="1:8" ht="18" x14ac:dyDescent="0.25">
      <c r="A1" s="878" t="s">
        <v>1309</v>
      </c>
      <c r="B1" s="878"/>
      <c r="C1" s="878"/>
      <c r="D1" s="878"/>
      <c r="E1" s="878"/>
      <c r="F1" s="878"/>
      <c r="G1" s="878"/>
      <c r="H1" s="878"/>
    </row>
    <row r="2" spans="1:8" x14ac:dyDescent="0.2">
      <c r="A2" s="882" t="s">
        <v>715</v>
      </c>
      <c r="B2" s="882"/>
      <c r="C2" s="882"/>
      <c r="D2" s="882"/>
      <c r="E2" s="882"/>
      <c r="F2" s="882"/>
      <c r="G2" s="882"/>
      <c r="H2" s="882"/>
    </row>
    <row r="3" spans="1:8" s="395" customFormat="1" x14ac:dyDescent="0.2">
      <c r="A3" s="525"/>
      <c r="B3" s="525"/>
      <c r="C3" s="525"/>
      <c r="D3" s="525"/>
      <c r="E3" s="614"/>
      <c r="F3" s="525"/>
      <c r="G3" s="525"/>
      <c r="H3" s="614"/>
    </row>
    <row r="4" spans="1:8" x14ac:dyDescent="0.2">
      <c r="A4" s="229" t="s">
        <v>403</v>
      </c>
      <c r="B4" s="231"/>
      <c r="C4" s="231"/>
      <c r="D4" s="231"/>
      <c r="E4" s="615"/>
      <c r="F4" s="231"/>
      <c r="G4" s="231"/>
      <c r="H4" s="615"/>
    </row>
    <row r="5" spans="1:8" x14ac:dyDescent="0.2">
      <c r="A5" s="251" t="s">
        <v>404</v>
      </c>
    </row>
    <row r="6" spans="1:8" x14ac:dyDescent="0.2">
      <c r="A6" s="46"/>
      <c r="B6" s="158"/>
      <c r="C6" s="154" t="s">
        <v>113</v>
      </c>
      <c r="D6" s="158"/>
      <c r="E6" s="616"/>
      <c r="F6" s="154" t="s">
        <v>114</v>
      </c>
      <c r="G6" s="154"/>
      <c r="H6" s="616"/>
    </row>
    <row r="7" spans="1:8" x14ac:dyDescent="0.2">
      <c r="A7" s="52" t="s">
        <v>9</v>
      </c>
      <c r="B7" s="159" t="s">
        <v>115</v>
      </c>
      <c r="C7" s="156" t="s">
        <v>67</v>
      </c>
      <c r="D7" s="159"/>
      <c r="E7" s="617" t="s">
        <v>116</v>
      </c>
      <c r="F7" s="156" t="s">
        <v>11</v>
      </c>
      <c r="G7" s="156" t="s">
        <v>114</v>
      </c>
      <c r="H7" s="617" t="s">
        <v>26</v>
      </c>
    </row>
    <row r="8" spans="1:8" x14ac:dyDescent="0.2">
      <c r="A8" s="51"/>
      <c r="B8" s="160" t="s">
        <v>117</v>
      </c>
      <c r="C8" s="558">
        <v>3.4243000000000003E-2</v>
      </c>
      <c r="D8" s="160" t="s">
        <v>62</v>
      </c>
      <c r="E8" s="618" t="s">
        <v>67</v>
      </c>
      <c r="F8" s="157" t="s">
        <v>23</v>
      </c>
      <c r="G8" s="157" t="s">
        <v>118</v>
      </c>
      <c r="H8" s="618" t="s">
        <v>67</v>
      </c>
    </row>
    <row r="9" spans="1:8" x14ac:dyDescent="0.2">
      <c r="A9" t="s">
        <v>30</v>
      </c>
      <c r="B9" s="26">
        <v>17000</v>
      </c>
      <c r="C9" s="20">
        <f>ROUND(B9*0.034243,2)</f>
        <v>582.13</v>
      </c>
      <c r="D9" s="27">
        <f>'5-Enrollment Projection'!E8</f>
        <v>36</v>
      </c>
      <c r="E9" s="425">
        <f>$H$55*D9</f>
        <v>151.91999999999999</v>
      </c>
      <c r="F9" s="34" t="s">
        <v>31</v>
      </c>
      <c r="G9" s="20">
        <f>$H$59</f>
        <v>134.38999999999999</v>
      </c>
      <c r="H9" s="425">
        <f>SUM(C9+E9+G9+$H$61)</f>
        <v>1278.8</v>
      </c>
    </row>
    <row r="10" spans="1:8" x14ac:dyDescent="0.2">
      <c r="A10" t="s">
        <v>32</v>
      </c>
      <c r="B10" s="26">
        <v>13000</v>
      </c>
      <c r="C10" s="20">
        <f t="shared" ref="C10:C11" si="0">ROUND(B10*0.034243,2)</f>
        <v>445.16</v>
      </c>
      <c r="D10" s="27">
        <f>'5-Enrollment Projection'!E9</f>
        <v>25</v>
      </c>
      <c r="E10" s="425">
        <f>$H$55*D10</f>
        <v>105.5</v>
      </c>
      <c r="F10" s="34" t="s">
        <v>31</v>
      </c>
      <c r="G10" s="20">
        <f>$H$59</f>
        <v>134.38999999999999</v>
      </c>
      <c r="H10" s="425">
        <f>SUM(C10+E10+G10+$H$61)</f>
        <v>1095.4100000000001</v>
      </c>
    </row>
    <row r="11" spans="1:8" x14ac:dyDescent="0.2">
      <c r="A11" t="s">
        <v>33</v>
      </c>
      <c r="B11" s="26">
        <v>17509</v>
      </c>
      <c r="C11" s="20">
        <f t="shared" si="0"/>
        <v>599.55999999999995</v>
      </c>
      <c r="D11" s="27">
        <f>'5-Enrollment Projection'!E10</f>
        <v>16</v>
      </c>
      <c r="E11" s="425">
        <f>$H$55*D11</f>
        <v>67.52</v>
      </c>
      <c r="F11" s="34" t="s">
        <v>31</v>
      </c>
      <c r="G11" s="20">
        <f>$H$59</f>
        <v>134.38999999999999</v>
      </c>
      <c r="H11" s="425">
        <f>SUM(C11+E11+G11+$H$61)</f>
        <v>1211.83</v>
      </c>
    </row>
    <row r="12" spans="1:8" x14ac:dyDescent="0.2">
      <c r="A12" s="16" t="s">
        <v>34</v>
      </c>
      <c r="B12" s="28">
        <f>SUM(B9:B11)</f>
        <v>47509</v>
      </c>
      <c r="C12" s="22">
        <f t="shared" ref="C12:H12" si="1">SUM(C9:C11)</f>
        <v>1626.85</v>
      </c>
      <c r="D12" s="29">
        <f t="shared" si="1"/>
        <v>77</v>
      </c>
      <c r="E12" s="619">
        <f t="shared" si="1"/>
        <v>324.93999999999994</v>
      </c>
      <c r="F12" s="22"/>
      <c r="G12" s="22">
        <f t="shared" si="1"/>
        <v>403.16999999999996</v>
      </c>
      <c r="H12" s="619">
        <f t="shared" si="1"/>
        <v>3586.04</v>
      </c>
    </row>
    <row r="14" spans="1:8" s="356" customFormat="1" x14ac:dyDescent="0.2">
      <c r="A14" s="356" t="s">
        <v>693</v>
      </c>
      <c r="B14" s="26">
        <v>68620</v>
      </c>
      <c r="C14" s="20">
        <f>ROUND(B14*0.034243,2)</f>
        <v>2349.75</v>
      </c>
      <c r="D14" s="27">
        <f>'5-Enrollment Projection'!E14</f>
        <v>417</v>
      </c>
      <c r="E14" s="425">
        <f t="shared" ref="E14:E27" si="2">$H$55*D14</f>
        <v>1759.74</v>
      </c>
      <c r="F14" s="20">
        <f t="shared" ref="F14:F27" si="3">$H$58</f>
        <v>1.4</v>
      </c>
      <c r="G14" s="20">
        <f>ROUND(D14*F14,2)</f>
        <v>583.79999999999995</v>
      </c>
      <c r="H14" s="425">
        <f>SUM(C14+E14+G14)</f>
        <v>4693.29</v>
      </c>
    </row>
    <row r="15" spans="1:8" x14ac:dyDescent="0.2">
      <c r="A15" t="s">
        <v>35</v>
      </c>
      <c r="B15" s="26">
        <v>56370</v>
      </c>
      <c r="C15" s="20">
        <f t="shared" ref="C15:C27" si="4">ROUND(B15*0.034243,2)</f>
        <v>1930.28</v>
      </c>
      <c r="D15" s="27">
        <f>'5-Enrollment Projection'!E15</f>
        <v>372</v>
      </c>
      <c r="E15" s="425">
        <f t="shared" si="2"/>
        <v>1569.84</v>
      </c>
      <c r="F15" s="20">
        <f t="shared" si="3"/>
        <v>1.4</v>
      </c>
      <c r="G15" s="20">
        <f>ROUND(D15*F15,2)</f>
        <v>520.79999999999995</v>
      </c>
      <c r="H15" s="425">
        <f>SUM(C15+E15+G15)</f>
        <v>4020.92</v>
      </c>
    </row>
    <row r="16" spans="1:8" x14ac:dyDescent="0.2">
      <c r="A16" t="s">
        <v>36</v>
      </c>
      <c r="B16" s="26">
        <v>58200</v>
      </c>
      <c r="C16" s="20">
        <f t="shared" si="4"/>
        <v>1992.94</v>
      </c>
      <c r="D16" s="27">
        <f>'5-Enrollment Projection'!E16</f>
        <v>209</v>
      </c>
      <c r="E16" s="425">
        <f t="shared" si="2"/>
        <v>881.9799999999999</v>
      </c>
      <c r="F16" s="20">
        <f t="shared" si="3"/>
        <v>1.4</v>
      </c>
      <c r="G16" s="20">
        <f t="shared" ref="G16:G27" si="5">ROUND(D16*F16,2)</f>
        <v>292.60000000000002</v>
      </c>
      <c r="H16" s="425">
        <f t="shared" ref="H16:H27" si="6">SUM(C16+E16+G16)</f>
        <v>3167.52</v>
      </c>
    </row>
    <row r="17" spans="1:12" x14ac:dyDescent="0.2">
      <c r="A17" s="131" t="s">
        <v>37</v>
      </c>
      <c r="B17" s="26">
        <v>68620</v>
      </c>
      <c r="C17" s="20">
        <f t="shared" si="4"/>
        <v>2349.75</v>
      </c>
      <c r="D17" s="27">
        <f>'5-Enrollment Projection'!E17</f>
        <v>408</v>
      </c>
      <c r="E17" s="425">
        <f t="shared" si="2"/>
        <v>1721.76</v>
      </c>
      <c r="F17" s="20">
        <f t="shared" si="3"/>
        <v>1.4</v>
      </c>
      <c r="G17" s="20">
        <f t="shared" si="5"/>
        <v>571.20000000000005</v>
      </c>
      <c r="H17" s="425">
        <f t="shared" si="6"/>
        <v>4642.71</v>
      </c>
    </row>
    <row r="18" spans="1:12" x14ac:dyDescent="0.2">
      <c r="A18" t="s">
        <v>38</v>
      </c>
      <c r="B18" s="26">
        <v>68620</v>
      </c>
      <c r="C18" s="20">
        <f t="shared" si="4"/>
        <v>2349.75</v>
      </c>
      <c r="D18" s="27">
        <f>'5-Enrollment Projection'!E18</f>
        <v>440</v>
      </c>
      <c r="E18" s="425">
        <f t="shared" si="2"/>
        <v>1856.8</v>
      </c>
      <c r="F18" s="20">
        <f t="shared" si="3"/>
        <v>1.4</v>
      </c>
      <c r="G18" s="20">
        <f t="shared" si="5"/>
        <v>616</v>
      </c>
      <c r="H18" s="425">
        <f t="shared" si="6"/>
        <v>4822.55</v>
      </c>
    </row>
    <row r="19" spans="1:12" x14ac:dyDescent="0.2">
      <c r="A19" t="s">
        <v>39</v>
      </c>
      <c r="B19" s="26">
        <v>39600</v>
      </c>
      <c r="C19" s="20">
        <f t="shared" si="4"/>
        <v>1356.02</v>
      </c>
      <c r="D19" s="27">
        <f>'5-Enrollment Projection'!E19</f>
        <v>259</v>
      </c>
      <c r="E19" s="425">
        <f t="shared" si="2"/>
        <v>1092.98</v>
      </c>
      <c r="F19" s="20">
        <f t="shared" si="3"/>
        <v>1.4</v>
      </c>
      <c r="G19" s="20">
        <f t="shared" si="5"/>
        <v>362.6</v>
      </c>
      <c r="H19" s="425">
        <f t="shared" si="6"/>
        <v>2811.6</v>
      </c>
    </row>
    <row r="20" spans="1:12" x14ac:dyDescent="0.2">
      <c r="A20" t="s">
        <v>40</v>
      </c>
      <c r="B20" s="26">
        <v>65010</v>
      </c>
      <c r="C20" s="20">
        <f t="shared" si="4"/>
        <v>2226.14</v>
      </c>
      <c r="D20" s="27">
        <f>'5-Enrollment Projection'!E20</f>
        <v>333</v>
      </c>
      <c r="E20" s="425">
        <f t="shared" si="2"/>
        <v>1405.26</v>
      </c>
      <c r="F20" s="20">
        <f t="shared" si="3"/>
        <v>1.4</v>
      </c>
      <c r="G20" s="20">
        <f t="shared" si="5"/>
        <v>466.2</v>
      </c>
      <c r="H20" s="425">
        <f t="shared" si="6"/>
        <v>4097.5999999999995</v>
      </c>
    </row>
    <row r="21" spans="1:12" x14ac:dyDescent="0.2">
      <c r="A21" s="357" t="s">
        <v>667</v>
      </c>
      <c r="B21" s="26">
        <v>68414</v>
      </c>
      <c r="C21" s="20">
        <f t="shared" si="4"/>
        <v>2342.6999999999998</v>
      </c>
      <c r="D21" s="27">
        <f>'5-Enrollment Projection'!E21</f>
        <v>350</v>
      </c>
      <c r="E21" s="425">
        <f t="shared" si="2"/>
        <v>1477</v>
      </c>
      <c r="F21" s="20">
        <f t="shared" si="3"/>
        <v>1.4</v>
      </c>
      <c r="G21" s="20">
        <f>ROUND(D21*F21,2)</f>
        <v>490</v>
      </c>
      <c r="H21" s="425">
        <f>SUM(C21+E21+G21)</f>
        <v>4309.7</v>
      </c>
    </row>
    <row r="22" spans="1:12" x14ac:dyDescent="0.2">
      <c r="A22" t="s">
        <v>41</v>
      </c>
      <c r="B22" s="26">
        <v>66415</v>
      </c>
      <c r="C22" s="20">
        <f t="shared" si="4"/>
        <v>2274.25</v>
      </c>
      <c r="D22" s="27">
        <f>'5-Enrollment Projection'!E22</f>
        <v>410</v>
      </c>
      <c r="E22" s="425">
        <f t="shared" si="2"/>
        <v>1730.1999999999998</v>
      </c>
      <c r="F22" s="20">
        <f t="shared" si="3"/>
        <v>1.4</v>
      </c>
      <c r="G22" s="20">
        <f t="shared" si="5"/>
        <v>574</v>
      </c>
      <c r="H22" s="425">
        <f t="shared" si="6"/>
        <v>4578.45</v>
      </c>
    </row>
    <row r="23" spans="1:12" x14ac:dyDescent="0.2">
      <c r="A23" t="s">
        <v>42</v>
      </c>
      <c r="B23" s="26">
        <v>60725</v>
      </c>
      <c r="C23" s="20">
        <f t="shared" si="4"/>
        <v>2079.41</v>
      </c>
      <c r="D23" s="27">
        <f>'5-Enrollment Projection'!E23</f>
        <v>309</v>
      </c>
      <c r="E23" s="425">
        <f t="shared" si="2"/>
        <v>1303.98</v>
      </c>
      <c r="F23" s="20">
        <f t="shared" si="3"/>
        <v>1.4</v>
      </c>
      <c r="G23" s="20">
        <f t="shared" si="5"/>
        <v>432.6</v>
      </c>
      <c r="H23" s="425">
        <f t="shared" si="6"/>
        <v>3815.99</v>
      </c>
      <c r="L23" s="686"/>
    </row>
    <row r="24" spans="1:12" x14ac:dyDescent="0.2">
      <c r="A24" t="s">
        <v>43</v>
      </c>
      <c r="B24" s="26">
        <v>83221</v>
      </c>
      <c r="C24" s="20">
        <f t="shared" si="4"/>
        <v>2849.74</v>
      </c>
      <c r="D24" s="27">
        <f>'5-Enrollment Projection'!E24</f>
        <v>280</v>
      </c>
      <c r="E24" s="425">
        <f t="shared" si="2"/>
        <v>1181.5999999999999</v>
      </c>
      <c r="F24" s="20">
        <f t="shared" si="3"/>
        <v>1.4</v>
      </c>
      <c r="G24" s="20">
        <f t="shared" si="5"/>
        <v>392</v>
      </c>
      <c r="H24" s="425">
        <f t="shared" si="6"/>
        <v>4423.34</v>
      </c>
    </row>
    <row r="25" spans="1:12" s="395" customFormat="1" x14ac:dyDescent="0.2">
      <c r="A25" s="387" t="s">
        <v>818</v>
      </c>
      <c r="B25" s="26">
        <v>68899</v>
      </c>
      <c r="C25" s="20">
        <f t="shared" si="4"/>
        <v>2359.31</v>
      </c>
      <c r="D25" s="27">
        <f>'6-Schools'!B26</f>
        <v>406</v>
      </c>
      <c r="E25" s="425">
        <f t="shared" si="2"/>
        <v>1713.32</v>
      </c>
      <c r="F25" s="20">
        <f t="shared" si="3"/>
        <v>1.4</v>
      </c>
      <c r="G25" s="20">
        <f t="shared" si="5"/>
        <v>568.4</v>
      </c>
      <c r="H25" s="425">
        <f t="shared" si="6"/>
        <v>4641.03</v>
      </c>
    </row>
    <row r="26" spans="1:12" x14ac:dyDescent="0.2">
      <c r="A26" t="s">
        <v>44</v>
      </c>
      <c r="B26" s="26">
        <v>59060</v>
      </c>
      <c r="C26" s="20">
        <f t="shared" si="4"/>
        <v>2022.39</v>
      </c>
      <c r="D26" s="27">
        <f>'5-Enrollment Projection'!E26</f>
        <v>348</v>
      </c>
      <c r="E26" s="425">
        <f t="shared" si="2"/>
        <v>1468.56</v>
      </c>
      <c r="F26" s="20">
        <f t="shared" si="3"/>
        <v>1.4</v>
      </c>
      <c r="G26" s="20">
        <f t="shared" si="5"/>
        <v>487.2</v>
      </c>
      <c r="H26" s="425">
        <f>SUM(C26+E26+G26)</f>
        <v>3978.1499999999996</v>
      </c>
    </row>
    <row r="27" spans="1:12" x14ac:dyDescent="0.2">
      <c r="A27" t="s">
        <v>45</v>
      </c>
      <c r="B27" s="26">
        <v>53754</v>
      </c>
      <c r="C27" s="20">
        <f t="shared" si="4"/>
        <v>1840.7</v>
      </c>
      <c r="D27" s="27">
        <f>'5-Enrollment Projection'!E27</f>
        <v>314</v>
      </c>
      <c r="E27" s="425">
        <f t="shared" si="2"/>
        <v>1325.08</v>
      </c>
      <c r="F27" s="20">
        <f t="shared" si="3"/>
        <v>1.4</v>
      </c>
      <c r="G27" s="20">
        <f t="shared" si="5"/>
        <v>439.6</v>
      </c>
      <c r="H27" s="425">
        <f t="shared" si="6"/>
        <v>3605.3799999999997</v>
      </c>
    </row>
    <row r="28" spans="1:12" x14ac:dyDescent="0.2">
      <c r="A28" s="16" t="s">
        <v>46</v>
      </c>
      <c r="B28" s="28">
        <f>SUM(B14:B27)</f>
        <v>885528</v>
      </c>
      <c r="C28" s="22">
        <f>SUM(C14:C27)</f>
        <v>30323.129999999997</v>
      </c>
      <c r="D28" s="29">
        <f>SUM(D14:D27)</f>
        <v>4855</v>
      </c>
      <c r="E28" s="619">
        <f>SUM(E14:E27)</f>
        <v>20488.100000000006</v>
      </c>
      <c r="F28" s="22"/>
      <c r="G28" s="22">
        <f>SUM(G14:G27)</f>
        <v>6796.9999999999991</v>
      </c>
      <c r="H28" s="619">
        <f>SUM(H14:H27)</f>
        <v>57608.229999999996</v>
      </c>
    </row>
    <row r="30" spans="1:12" x14ac:dyDescent="0.2">
      <c r="A30" t="s">
        <v>47</v>
      </c>
      <c r="B30" s="26">
        <v>192950</v>
      </c>
      <c r="C30" s="20">
        <f t="shared" ref="C30:C31" si="7">ROUND(B30*0.034243,2)</f>
        <v>6607.19</v>
      </c>
      <c r="D30" s="27">
        <f>'5-Enrollment Projection'!E31</f>
        <v>647</v>
      </c>
      <c r="E30" s="425">
        <f>$H$56*D30</f>
        <v>3733.1899999999996</v>
      </c>
      <c r="F30" s="20">
        <f>$H$58</f>
        <v>1.4</v>
      </c>
      <c r="G30" s="20">
        <f>ROUND(D30*F30,2)</f>
        <v>905.8</v>
      </c>
      <c r="H30" s="425">
        <f>SUM(C30+E30+G30)</f>
        <v>11246.179999999998</v>
      </c>
    </row>
    <row r="31" spans="1:12" x14ac:dyDescent="0.2">
      <c r="A31" t="s">
        <v>48</v>
      </c>
      <c r="B31" s="26">
        <f>187640+3529</f>
        <v>191169</v>
      </c>
      <c r="C31" s="20">
        <f t="shared" si="7"/>
        <v>6546.2</v>
      </c>
      <c r="D31" s="27">
        <f>'5-Enrollment Projection'!E32</f>
        <v>663</v>
      </c>
      <c r="E31" s="425">
        <f>$H$56*D31</f>
        <v>3825.5099999999998</v>
      </c>
      <c r="F31" s="20">
        <f>$H$58</f>
        <v>1.4</v>
      </c>
      <c r="G31" s="20">
        <f>ROUND(D31*F31,2)</f>
        <v>928.2</v>
      </c>
      <c r="H31" s="425">
        <f>SUM(C31+E31+G31)</f>
        <v>11299.91</v>
      </c>
    </row>
    <row r="32" spans="1:12" x14ac:dyDescent="0.2">
      <c r="A32" s="16" t="s">
        <v>49</v>
      </c>
      <c r="B32" s="28">
        <f>SUM(B30:B31)</f>
        <v>384119</v>
      </c>
      <c r="C32" s="22">
        <f t="shared" ref="C32:H32" si="8">SUM(C30:C31)</f>
        <v>13153.39</v>
      </c>
      <c r="D32" s="29">
        <f t="shared" si="8"/>
        <v>1310</v>
      </c>
      <c r="E32" s="619">
        <f t="shared" si="8"/>
        <v>7558.6999999999989</v>
      </c>
      <c r="F32" s="22"/>
      <c r="G32" s="22">
        <f t="shared" si="8"/>
        <v>1834</v>
      </c>
      <c r="H32" s="619">
        <f t="shared" si="8"/>
        <v>22546.089999999997</v>
      </c>
    </row>
    <row r="34" spans="1:10" x14ac:dyDescent="0.2">
      <c r="A34" t="s">
        <v>50</v>
      </c>
      <c r="B34" s="26">
        <v>29987</v>
      </c>
      <c r="C34" s="20">
        <f t="shared" ref="C34:C37" si="9">ROUND(B34*0.034243,2)</f>
        <v>1026.8399999999999</v>
      </c>
      <c r="D34" s="27">
        <f>'5-Enrollment Projection'!E36</f>
        <v>145</v>
      </c>
      <c r="E34" s="425">
        <f>$H$56*D34</f>
        <v>836.65</v>
      </c>
      <c r="F34" s="20">
        <f>$H$58</f>
        <v>1.4</v>
      </c>
      <c r="G34" s="20">
        <f>ROUND(D34*F34,2)</f>
        <v>203</v>
      </c>
      <c r="H34" s="425">
        <f>SUM(C34+E34+G34)</f>
        <v>2066.4899999999998</v>
      </c>
    </row>
    <row r="35" spans="1:10" x14ac:dyDescent="0.2">
      <c r="A35" s="131" t="s">
        <v>51</v>
      </c>
      <c r="B35" s="26">
        <v>329982</v>
      </c>
      <c r="C35" s="20">
        <f t="shared" si="9"/>
        <v>11299.57</v>
      </c>
      <c r="D35" s="27">
        <f>'5-Enrollment Projection'!E37</f>
        <v>1057</v>
      </c>
      <c r="E35" s="425">
        <f>$H$57*D35</f>
        <v>9132.4800000000014</v>
      </c>
      <c r="F35" s="20">
        <f>$H$58</f>
        <v>1.4</v>
      </c>
      <c r="G35" s="20">
        <f>ROUND(D35*F35,2)</f>
        <v>1479.8</v>
      </c>
      <c r="H35" s="425">
        <f>SUM(C35+E35+G35)</f>
        <v>21911.850000000002</v>
      </c>
    </row>
    <row r="36" spans="1:10" x14ac:dyDescent="0.2">
      <c r="A36" s="395" t="s">
        <v>871</v>
      </c>
      <c r="B36" s="26">
        <v>301605</v>
      </c>
      <c r="C36" s="20">
        <f t="shared" si="9"/>
        <v>10327.86</v>
      </c>
      <c r="D36" s="27">
        <f>'5-Enrollment Projection'!E38</f>
        <v>1135</v>
      </c>
      <c r="E36" s="425">
        <f>$H$57*D36</f>
        <v>9806.4000000000015</v>
      </c>
      <c r="F36" s="34">
        <f>$H$58</f>
        <v>1.4</v>
      </c>
      <c r="G36" s="20">
        <f>ROUND(D36*F36,2)</f>
        <v>1589</v>
      </c>
      <c r="H36" s="425">
        <f>SUM(C36+E36+G36)</f>
        <v>21723.260000000002</v>
      </c>
    </row>
    <row r="37" spans="1:10" x14ac:dyDescent="0.2">
      <c r="A37" t="s">
        <v>52</v>
      </c>
      <c r="B37" s="26">
        <f>102475+7145</f>
        <v>109620</v>
      </c>
      <c r="C37" s="20">
        <f t="shared" si="9"/>
        <v>3753.72</v>
      </c>
      <c r="D37" s="27">
        <f>'5-Enrollment Projection'!E39</f>
        <v>192</v>
      </c>
      <c r="E37" s="425">
        <f>$H$57*D37</f>
        <v>1658.88</v>
      </c>
      <c r="F37" s="20">
        <f>$H$58</f>
        <v>1.4</v>
      </c>
      <c r="G37" s="20">
        <f>ROUND(D37*F37,2)</f>
        <v>268.8</v>
      </c>
      <c r="H37" s="425">
        <f>SUM(C37+E37+G37)</f>
        <v>5681.4000000000005</v>
      </c>
    </row>
    <row r="38" spans="1:10" x14ac:dyDescent="0.2">
      <c r="A38" s="16" t="s">
        <v>53</v>
      </c>
      <c r="B38" s="28">
        <f>SUM(B34:B37)</f>
        <v>771194</v>
      </c>
      <c r="C38" s="22">
        <f t="shared" ref="C38:H38" si="10">SUM(C34:C37)</f>
        <v>26407.99</v>
      </c>
      <c r="D38" s="29">
        <f t="shared" si="10"/>
        <v>2529</v>
      </c>
      <c r="E38" s="619">
        <f t="shared" si="10"/>
        <v>21434.410000000003</v>
      </c>
      <c r="F38" s="22"/>
      <c r="G38" s="22">
        <f t="shared" si="10"/>
        <v>3540.6000000000004</v>
      </c>
      <c r="H38" s="619">
        <f t="shared" si="10"/>
        <v>51383.000000000007</v>
      </c>
    </row>
    <row r="40" spans="1:10" x14ac:dyDescent="0.2">
      <c r="A40" s="23" t="s">
        <v>105</v>
      </c>
      <c r="B40" s="30">
        <f>SUM(B12+B28+B32+B38)</f>
        <v>2088350</v>
      </c>
      <c r="C40" s="24">
        <f>SUM(C12+C28+C32+C38)</f>
        <v>71511.360000000001</v>
      </c>
      <c r="D40" s="31">
        <f>SUM(D12+D28+D32+D38)</f>
        <v>8771</v>
      </c>
      <c r="E40" s="620">
        <f>SUM(E12+E28+E32+E38)</f>
        <v>49806.150000000009</v>
      </c>
      <c r="F40" s="24"/>
      <c r="G40" s="24">
        <f>SUM(G12+G28+G32+G38)</f>
        <v>12574.769999999999</v>
      </c>
      <c r="H40" s="620">
        <f>SUM(H12+H28+H32+H38)</f>
        <v>135123.35999999999</v>
      </c>
      <c r="J40" s="20"/>
    </row>
    <row r="41" spans="1:10" x14ac:dyDescent="0.2">
      <c r="A41" s="412"/>
      <c r="B41" s="158"/>
      <c r="C41" s="154" t="s">
        <v>113</v>
      </c>
      <c r="D41" s="158"/>
      <c r="E41" s="616"/>
      <c r="F41" s="154" t="s">
        <v>114</v>
      </c>
      <c r="G41" s="154"/>
      <c r="H41" s="616"/>
    </row>
    <row r="42" spans="1:10" s="395" customFormat="1" x14ac:dyDescent="0.2">
      <c r="A42" s="586" t="s">
        <v>99</v>
      </c>
      <c r="B42" s="159" t="s">
        <v>115</v>
      </c>
      <c r="C42" s="156" t="s">
        <v>67</v>
      </c>
      <c r="D42" s="159"/>
      <c r="E42" s="617" t="s">
        <v>116</v>
      </c>
      <c r="F42" s="156" t="s">
        <v>11</v>
      </c>
      <c r="G42" s="156" t="s">
        <v>114</v>
      </c>
      <c r="H42" s="617" t="s">
        <v>26</v>
      </c>
    </row>
    <row r="43" spans="1:10" x14ac:dyDescent="0.2">
      <c r="A43" s="51"/>
      <c r="B43" s="160" t="s">
        <v>117</v>
      </c>
      <c r="C43" s="558">
        <v>7.4329999999999993E-2</v>
      </c>
      <c r="D43" s="160" t="s">
        <v>62</v>
      </c>
      <c r="E43" s="618" t="s">
        <v>67</v>
      </c>
      <c r="F43" s="157" t="s">
        <v>23</v>
      </c>
      <c r="G43" s="157" t="s">
        <v>118</v>
      </c>
      <c r="H43" s="618" t="s">
        <v>67</v>
      </c>
    </row>
    <row r="44" spans="1:10" x14ac:dyDescent="0.2">
      <c r="A44" t="s">
        <v>106</v>
      </c>
      <c r="B44" s="39">
        <v>30223</v>
      </c>
      <c r="C44" s="21">
        <f>ROUND(B44*0.07433,2)</f>
        <v>2246.48</v>
      </c>
      <c r="D44" s="27" t="s">
        <v>31</v>
      </c>
      <c r="E44" s="613" t="s">
        <v>31</v>
      </c>
      <c r="F44" s="21" t="s">
        <v>31</v>
      </c>
      <c r="G44" s="21" t="s">
        <v>31</v>
      </c>
      <c r="H44" s="425">
        <f>C44</f>
        <v>2246.48</v>
      </c>
    </row>
    <row r="45" spans="1:10" s="395" customFormat="1" x14ac:dyDescent="0.2">
      <c r="A45" s="395" t="s">
        <v>797</v>
      </c>
      <c r="B45" s="495">
        <v>27000</v>
      </c>
      <c r="C45" s="21">
        <f t="shared" ref="C45:C48" si="11">ROUND(B45*0.07433,2)</f>
        <v>2006.91</v>
      </c>
      <c r="D45" s="494" t="s">
        <v>31</v>
      </c>
      <c r="E45" s="613" t="s">
        <v>31</v>
      </c>
      <c r="F45" s="21" t="s">
        <v>31</v>
      </c>
      <c r="G45" s="21" t="s">
        <v>31</v>
      </c>
      <c r="H45" s="425">
        <f t="shared" ref="H45:H48" si="12">C45</f>
        <v>2006.91</v>
      </c>
    </row>
    <row r="46" spans="1:10" x14ac:dyDescent="0.2">
      <c r="A46" t="s">
        <v>107</v>
      </c>
      <c r="B46" s="39">
        <v>46000</v>
      </c>
      <c r="C46" s="21">
        <f t="shared" si="11"/>
        <v>3419.18</v>
      </c>
      <c r="D46" s="27" t="s">
        <v>31</v>
      </c>
      <c r="E46" s="613" t="s">
        <v>31</v>
      </c>
      <c r="F46" s="21" t="s">
        <v>31</v>
      </c>
      <c r="G46" s="21" t="s">
        <v>31</v>
      </c>
      <c r="H46" s="425">
        <f t="shared" si="12"/>
        <v>3419.18</v>
      </c>
    </row>
    <row r="47" spans="1:10" x14ac:dyDescent="0.2">
      <c r="A47" t="s">
        <v>119</v>
      </c>
      <c r="B47" s="39">
        <v>27289</v>
      </c>
      <c r="C47" s="21">
        <f t="shared" si="11"/>
        <v>2028.39</v>
      </c>
      <c r="D47" s="27" t="s">
        <v>31</v>
      </c>
      <c r="E47" s="613" t="s">
        <v>31</v>
      </c>
      <c r="F47" s="21" t="s">
        <v>31</v>
      </c>
      <c r="G47" s="21" t="s">
        <v>31</v>
      </c>
      <c r="H47" s="425">
        <f t="shared" si="12"/>
        <v>2028.39</v>
      </c>
    </row>
    <row r="48" spans="1:10" x14ac:dyDescent="0.2">
      <c r="A48" s="387" t="s">
        <v>70</v>
      </c>
      <c r="B48" s="39">
        <v>23520</v>
      </c>
      <c r="C48" s="21">
        <f t="shared" si="11"/>
        <v>1748.24</v>
      </c>
      <c r="D48" s="27" t="s">
        <v>31</v>
      </c>
      <c r="E48" s="613" t="s">
        <v>31</v>
      </c>
      <c r="F48" s="21" t="s">
        <v>31</v>
      </c>
      <c r="G48" s="21" t="s">
        <v>31</v>
      </c>
      <c r="H48" s="425">
        <f t="shared" si="12"/>
        <v>1748.24</v>
      </c>
    </row>
    <row r="49" spans="1:8" x14ac:dyDescent="0.2">
      <c r="A49" t="s">
        <v>120</v>
      </c>
      <c r="B49" s="39" t="s">
        <v>31</v>
      </c>
      <c r="C49" s="21" t="s">
        <v>31</v>
      </c>
      <c r="D49" s="27" t="s">
        <v>31</v>
      </c>
      <c r="E49" s="621">
        <v>25287.7</v>
      </c>
      <c r="F49" s="21" t="s">
        <v>31</v>
      </c>
      <c r="G49" s="21" t="s">
        <v>31</v>
      </c>
      <c r="H49" s="425">
        <f>E49</f>
        <v>25287.7</v>
      </c>
    </row>
    <row r="50" spans="1:8" x14ac:dyDescent="0.2">
      <c r="A50" s="23" t="s">
        <v>124</v>
      </c>
      <c r="B50" s="30">
        <f t="shared" ref="B50:H50" si="13">SUM(B43:B49)</f>
        <v>154032</v>
      </c>
      <c r="C50" s="24">
        <f t="shared" si="13"/>
        <v>11449.274329999998</v>
      </c>
      <c r="D50" s="31">
        <f t="shared" si="13"/>
        <v>0</v>
      </c>
      <c r="E50" s="620">
        <f t="shared" si="13"/>
        <v>25287.7</v>
      </c>
      <c r="F50" s="24">
        <f t="shared" si="13"/>
        <v>0</v>
      </c>
      <c r="G50" s="24">
        <f t="shared" si="13"/>
        <v>0</v>
      </c>
      <c r="H50" s="620">
        <f t="shared" si="13"/>
        <v>36736.9</v>
      </c>
    </row>
    <row r="52" spans="1:8" x14ac:dyDescent="0.2">
      <c r="A52" s="14" t="s">
        <v>121</v>
      </c>
      <c r="B52" s="32">
        <f t="shared" ref="B52:H52" si="14">SUM(B40+B50)</f>
        <v>2242382</v>
      </c>
      <c r="C52" s="25">
        <f t="shared" si="14"/>
        <v>82960.634330000001</v>
      </c>
      <c r="D52" s="33">
        <f t="shared" si="14"/>
        <v>8771</v>
      </c>
      <c r="E52" s="622">
        <f t="shared" si="14"/>
        <v>75093.850000000006</v>
      </c>
      <c r="F52" s="25">
        <f t="shared" si="14"/>
        <v>0</v>
      </c>
      <c r="G52" s="25">
        <f t="shared" si="14"/>
        <v>12574.769999999999</v>
      </c>
      <c r="H52" s="622">
        <f t="shared" si="14"/>
        <v>171860.25999999998</v>
      </c>
    </row>
    <row r="53" spans="1:8" s="395" customFormat="1" ht="13.5" thickBot="1" x14ac:dyDescent="0.25">
      <c r="A53" s="397"/>
      <c r="B53" s="591"/>
      <c r="C53" s="490"/>
      <c r="D53" s="592"/>
      <c r="E53" s="623"/>
      <c r="F53" s="490"/>
      <c r="G53" s="490"/>
      <c r="H53" s="623"/>
    </row>
    <row r="54" spans="1:8" x14ac:dyDescent="0.2">
      <c r="E54" s="624" t="s">
        <v>342</v>
      </c>
      <c r="F54" s="133"/>
      <c r="G54" s="134"/>
      <c r="H54" s="627"/>
    </row>
    <row r="55" spans="1:8" x14ac:dyDescent="0.2">
      <c r="E55" s="625" t="s">
        <v>331</v>
      </c>
      <c r="F55" s="135"/>
      <c r="G55" s="136"/>
      <c r="H55" s="137">
        <v>4.22</v>
      </c>
    </row>
    <row r="56" spans="1:8" x14ac:dyDescent="0.2">
      <c r="E56" s="625" t="s">
        <v>340</v>
      </c>
      <c r="F56" s="135"/>
      <c r="G56" s="136"/>
      <c r="H56" s="137">
        <v>5.77</v>
      </c>
    </row>
    <row r="57" spans="1:8" x14ac:dyDescent="0.2">
      <c r="E57" s="625" t="s">
        <v>870</v>
      </c>
      <c r="F57" s="135"/>
      <c r="G57" s="136"/>
      <c r="H57" s="137">
        <v>8.64</v>
      </c>
    </row>
    <row r="58" spans="1:8" x14ac:dyDescent="0.2">
      <c r="E58" s="625" t="s">
        <v>341</v>
      </c>
      <c r="F58" s="135"/>
      <c r="G58" s="136"/>
      <c r="H58" s="137">
        <v>1.4</v>
      </c>
    </row>
    <row r="59" spans="1:8" x14ac:dyDescent="0.2">
      <c r="A59" s="387"/>
      <c r="E59" s="625" t="s">
        <v>343</v>
      </c>
      <c r="F59" s="135"/>
      <c r="G59" s="136"/>
      <c r="H59" s="137">
        <v>134.38999999999999</v>
      </c>
    </row>
    <row r="60" spans="1:8" x14ac:dyDescent="0.2">
      <c r="A60" s="387"/>
      <c r="E60" s="625" t="s">
        <v>344</v>
      </c>
      <c r="F60" s="135"/>
      <c r="G60" s="136"/>
      <c r="H60" s="137"/>
    </row>
    <row r="61" spans="1:8" ht="13.5" thickBot="1" x14ac:dyDescent="0.25">
      <c r="A61" s="387"/>
      <c r="E61" s="626" t="s">
        <v>345</v>
      </c>
      <c r="F61" s="138"/>
      <c r="G61" s="139"/>
      <c r="H61" s="590">
        <v>410.36</v>
      </c>
    </row>
    <row r="62" spans="1:8" x14ac:dyDescent="0.2">
      <c r="A62" s="387"/>
      <c r="F62"/>
      <c r="G62"/>
    </row>
    <row r="63" spans="1:8" x14ac:dyDescent="0.2">
      <c r="A63" s="387"/>
    </row>
    <row r="64" spans="1:8" x14ac:dyDescent="0.2">
      <c r="A64" s="387"/>
    </row>
    <row r="65" spans="1:8" x14ac:dyDescent="0.2">
      <c r="A65" s="387"/>
    </row>
    <row r="66" spans="1:8" s="395" customFormat="1" x14ac:dyDescent="0.2">
      <c r="A66"/>
      <c r="B66" s="26"/>
      <c r="C66" s="20"/>
      <c r="D66" s="27"/>
      <c r="E66" s="425"/>
      <c r="F66" s="20"/>
      <c r="G66" s="20"/>
      <c r="H66" s="425"/>
    </row>
  </sheetData>
  <mergeCells count="2">
    <mergeCell ref="A1:H1"/>
    <mergeCell ref="A2:H2"/>
  </mergeCells>
  <phoneticPr fontId="0" type="noConversion"/>
  <printOptions horizontalCentered="1"/>
  <pageMargins left="0.25" right="0.31" top="0.25" bottom="0.43" header="0.25" footer="0.21"/>
  <pageSetup scale="91" firstPageNumber="23" orientation="portrait" useFirstPageNumber="1" r:id="rId1"/>
  <headerFooter alignWithMargins="0">
    <oddFooter>&amp;L&amp;6&amp;Z&amp;F   &amp;A&amp;C&amp;8               &amp;6           Page &amp;P&amp;R&amp;6&amp;D   &amp;T</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T61"/>
  <sheetViews>
    <sheetView zoomScale="115" zoomScaleNormal="115" workbookViewId="0">
      <selection activeCell="A2" sqref="A2"/>
    </sheetView>
  </sheetViews>
  <sheetFormatPr defaultRowHeight="12.75" x14ac:dyDescent="0.2"/>
  <cols>
    <col min="1" max="1" width="14.140625" customWidth="1"/>
    <col min="2" max="3" width="9.85546875" style="12" customWidth="1"/>
    <col min="4" max="4" width="9.85546875" style="12" bestFit="1" customWidth="1"/>
    <col min="5" max="5" width="10.42578125" style="38" bestFit="1" customWidth="1"/>
    <col min="6" max="6" width="9.85546875" style="12" bestFit="1" customWidth="1"/>
    <col min="7" max="7" width="10.42578125" style="12" bestFit="1" customWidth="1"/>
    <col min="8" max="8" width="11.85546875" style="12" bestFit="1" customWidth="1"/>
    <col min="9" max="9" width="9" style="12" customWidth="1"/>
    <col min="10" max="10" width="9.42578125" style="12" bestFit="1" customWidth="1"/>
    <col min="11" max="11" width="9.42578125" style="12" customWidth="1"/>
    <col min="12" max="12" width="9.85546875" style="38" bestFit="1" customWidth="1"/>
    <col min="13" max="13" width="9.42578125" style="210" bestFit="1" customWidth="1"/>
    <col min="14" max="15" width="9.28515625" style="210" customWidth="1"/>
    <col min="16" max="16" width="9.140625" style="38" bestFit="1" customWidth="1"/>
    <col min="17" max="17" width="8.7109375" style="215" bestFit="1" customWidth="1"/>
    <col min="18" max="18" width="9.85546875" style="12" bestFit="1" customWidth="1"/>
    <col min="19" max="19" width="10.5703125" style="12" bestFit="1" customWidth="1"/>
    <col min="20" max="20" width="9.85546875" bestFit="1" customWidth="1"/>
  </cols>
  <sheetData>
    <row r="1" spans="1:19" ht="18" x14ac:dyDescent="0.25">
      <c r="A1" s="878" t="s">
        <v>1308</v>
      </c>
      <c r="B1" s="878"/>
      <c r="C1" s="878"/>
      <c r="D1" s="878"/>
      <c r="E1" s="878"/>
      <c r="F1" s="878"/>
      <c r="G1" s="878"/>
      <c r="H1" s="878"/>
      <c r="I1" s="878"/>
      <c r="J1" s="878"/>
      <c r="K1" s="878"/>
      <c r="L1" s="878"/>
      <c r="M1" s="878"/>
      <c r="N1" s="878"/>
      <c r="O1" s="878"/>
      <c r="P1" s="878"/>
      <c r="Q1" s="878"/>
      <c r="R1" s="878"/>
      <c r="S1" s="878"/>
    </row>
    <row r="2" spans="1:19" x14ac:dyDescent="0.2">
      <c r="A2" s="162"/>
      <c r="B2" s="99"/>
      <c r="C2" s="99"/>
      <c r="D2" s="99"/>
      <c r="E2" s="104"/>
      <c r="F2" s="99"/>
      <c r="G2" s="99"/>
      <c r="H2" s="240"/>
      <c r="I2" s="99"/>
      <c r="J2" s="99"/>
      <c r="K2" s="99"/>
      <c r="L2" s="104"/>
      <c r="M2" s="207"/>
      <c r="N2" s="207"/>
      <c r="O2" s="207"/>
      <c r="P2" s="104"/>
      <c r="Q2" s="211"/>
      <c r="R2" s="99"/>
      <c r="S2" s="99"/>
    </row>
    <row r="3" spans="1:19" x14ac:dyDescent="0.2">
      <c r="A3" s="235" t="s">
        <v>606</v>
      </c>
      <c r="B3" s="236"/>
      <c r="C3" s="236"/>
      <c r="D3" s="236"/>
      <c r="E3" s="237"/>
      <c r="F3" s="236"/>
      <c r="G3" s="531"/>
      <c r="H3" s="531"/>
      <c r="I3" s="236"/>
      <c r="J3" s="236"/>
      <c r="K3" s="236"/>
      <c r="L3" s="237"/>
      <c r="M3" s="238"/>
      <c r="N3" s="238"/>
      <c r="O3" s="238"/>
      <c r="P3" s="237"/>
      <c r="Q3" s="239"/>
      <c r="R3" s="236"/>
      <c r="S3" s="236"/>
    </row>
    <row r="4" spans="1:19" x14ac:dyDescent="0.2">
      <c r="A4" s="149"/>
      <c r="B4" s="393" t="s">
        <v>1236</v>
      </c>
      <c r="C4" s="393" t="s">
        <v>739</v>
      </c>
      <c r="D4" s="393" t="s">
        <v>1238</v>
      </c>
      <c r="E4" s="201"/>
      <c r="F4" s="150"/>
      <c r="G4" s="533"/>
      <c r="H4" s="533"/>
      <c r="I4" s="150"/>
      <c r="J4" s="150" t="s">
        <v>86</v>
      </c>
      <c r="K4" s="150" t="s">
        <v>416</v>
      </c>
      <c r="L4" s="201" t="s">
        <v>418</v>
      </c>
      <c r="M4" s="860" t="s">
        <v>9</v>
      </c>
      <c r="N4" s="150"/>
      <c r="O4" s="150" t="s">
        <v>87</v>
      </c>
      <c r="P4" s="201"/>
      <c r="Q4" s="212"/>
      <c r="R4" s="150" t="s">
        <v>422</v>
      </c>
      <c r="S4" s="151"/>
    </row>
    <row r="5" spans="1:19" x14ac:dyDescent="0.2">
      <c r="A5" s="94" t="s">
        <v>9</v>
      </c>
      <c r="B5" s="324" t="s">
        <v>415</v>
      </c>
      <c r="C5" s="324" t="s">
        <v>89</v>
      </c>
      <c r="D5" s="333" t="s">
        <v>1239</v>
      </c>
      <c r="E5" s="324" t="s">
        <v>162</v>
      </c>
      <c r="F5" s="324" t="s">
        <v>86</v>
      </c>
      <c r="G5" s="556" t="s">
        <v>1235</v>
      </c>
      <c r="H5" s="532" t="s">
        <v>97</v>
      </c>
      <c r="I5" s="324" t="s">
        <v>88</v>
      </c>
      <c r="J5" s="324" t="s">
        <v>90</v>
      </c>
      <c r="K5" s="324" t="s">
        <v>417</v>
      </c>
      <c r="L5" s="324" t="s">
        <v>419</v>
      </c>
      <c r="M5" s="333" t="s">
        <v>1240</v>
      </c>
      <c r="N5" s="324" t="s">
        <v>91</v>
      </c>
      <c r="O5" s="324" t="s">
        <v>92</v>
      </c>
      <c r="P5" s="324" t="s">
        <v>420</v>
      </c>
      <c r="Q5" s="324" t="s">
        <v>421</v>
      </c>
      <c r="R5" s="324" t="s">
        <v>423</v>
      </c>
      <c r="S5" s="101"/>
    </row>
    <row r="6" spans="1:19" s="328" customFormat="1" x14ac:dyDescent="0.2">
      <c r="A6" s="327"/>
      <c r="B6" s="325">
        <v>1210</v>
      </c>
      <c r="C6" s="326" t="s">
        <v>614</v>
      </c>
      <c r="D6" s="326" t="s">
        <v>614</v>
      </c>
      <c r="E6" s="326" t="s">
        <v>614</v>
      </c>
      <c r="F6" s="326" t="s">
        <v>614</v>
      </c>
      <c r="G6" s="333" t="s">
        <v>614</v>
      </c>
      <c r="H6" s="333" t="s">
        <v>614</v>
      </c>
      <c r="I6" s="326" t="s">
        <v>865</v>
      </c>
      <c r="J6" s="326" t="s">
        <v>617</v>
      </c>
      <c r="K6" s="326" t="s">
        <v>619</v>
      </c>
      <c r="L6" s="326" t="s">
        <v>619</v>
      </c>
      <c r="M6" s="326" t="s">
        <v>621</v>
      </c>
      <c r="N6" s="326" t="s">
        <v>622</v>
      </c>
      <c r="O6" s="326" t="s">
        <v>623</v>
      </c>
      <c r="P6" s="326" t="s">
        <v>624</v>
      </c>
      <c r="Q6" s="326" t="s">
        <v>625</v>
      </c>
      <c r="R6" s="326" t="s">
        <v>626</v>
      </c>
      <c r="S6" s="325" t="s">
        <v>29</v>
      </c>
    </row>
    <row r="7" spans="1:19" s="328" customFormat="1" x14ac:dyDescent="0.2">
      <c r="A7" s="329"/>
      <c r="B7" s="330" t="s">
        <v>613</v>
      </c>
      <c r="C7" s="330" t="s">
        <v>738</v>
      </c>
      <c r="D7" s="332" t="s">
        <v>1237</v>
      </c>
      <c r="E7" s="332" t="s">
        <v>615</v>
      </c>
      <c r="F7" s="332" t="s">
        <v>641</v>
      </c>
      <c r="G7" s="332" t="s">
        <v>643</v>
      </c>
      <c r="H7" s="332" t="s">
        <v>644</v>
      </c>
      <c r="I7" s="332" t="s">
        <v>616</v>
      </c>
      <c r="J7" s="332" t="s">
        <v>618</v>
      </c>
      <c r="K7" s="332" t="s">
        <v>613</v>
      </c>
      <c r="L7" s="332" t="s">
        <v>620</v>
      </c>
      <c r="M7" s="332" t="s">
        <v>613</v>
      </c>
      <c r="N7" s="332" t="s">
        <v>613</v>
      </c>
      <c r="O7" s="332" t="s">
        <v>613</v>
      </c>
      <c r="P7" s="332" t="s">
        <v>613</v>
      </c>
      <c r="Q7" s="332" t="s">
        <v>613</v>
      </c>
      <c r="R7" s="332" t="s">
        <v>613</v>
      </c>
      <c r="S7" s="331"/>
    </row>
    <row r="8" spans="1:19" s="595" customFormat="1" ht="16.5" customHeight="1" x14ac:dyDescent="0.2">
      <c r="A8" s="593" t="s">
        <v>30</v>
      </c>
      <c r="B8" s="594"/>
      <c r="C8" s="594"/>
      <c r="D8" s="594"/>
      <c r="E8" s="594"/>
      <c r="F8" s="594"/>
      <c r="G8" s="594"/>
      <c r="H8" s="594">
        <v>150</v>
      </c>
      <c r="I8" s="594"/>
      <c r="J8" s="594"/>
      <c r="K8" s="594"/>
      <c r="L8" s="594"/>
      <c r="M8" s="594"/>
      <c r="N8" s="594"/>
      <c r="O8" s="594"/>
      <c r="P8" s="594"/>
      <c r="Q8" s="594"/>
      <c r="R8" s="594"/>
      <c r="S8" s="594">
        <f>SUM(B8:R8)</f>
        <v>150</v>
      </c>
    </row>
    <row r="9" spans="1:19" ht="16.5" customHeight="1" x14ac:dyDescent="0.2">
      <c r="A9" s="337" t="s">
        <v>32</v>
      </c>
      <c r="B9" s="505"/>
      <c r="C9" s="505"/>
      <c r="D9" s="505"/>
      <c r="E9" s="505"/>
      <c r="F9" s="505"/>
      <c r="G9" s="505"/>
      <c r="H9" s="505">
        <v>150</v>
      </c>
      <c r="I9" s="505"/>
      <c r="J9" s="505"/>
      <c r="K9" s="505"/>
      <c r="L9" s="505"/>
      <c r="M9" s="505"/>
      <c r="N9" s="505"/>
      <c r="O9" s="505"/>
      <c r="P9" s="505"/>
      <c r="Q9" s="505"/>
      <c r="R9" s="505"/>
      <c r="S9" s="505">
        <f>SUM(B9:R9)</f>
        <v>150</v>
      </c>
    </row>
    <row r="10" spans="1:19" s="595" customFormat="1" ht="16.5" customHeight="1" x14ac:dyDescent="0.2">
      <c r="A10" s="593" t="s">
        <v>33</v>
      </c>
      <c r="B10" s="594"/>
      <c r="C10" s="594"/>
      <c r="D10" s="594"/>
      <c r="E10" s="594"/>
      <c r="F10" s="594"/>
      <c r="G10" s="594"/>
      <c r="H10" s="594">
        <v>150</v>
      </c>
      <c r="I10" s="594"/>
      <c r="J10" s="594"/>
      <c r="K10" s="594"/>
      <c r="L10" s="594"/>
      <c r="M10" s="594"/>
      <c r="N10" s="594"/>
      <c r="O10" s="594"/>
      <c r="P10" s="594"/>
      <c r="Q10" s="594"/>
      <c r="R10" s="594"/>
      <c r="S10" s="594">
        <f>SUM(B10:R10)</f>
        <v>150</v>
      </c>
    </row>
    <row r="11" spans="1:19" ht="16.5" customHeight="1" x14ac:dyDescent="0.2">
      <c r="A11" s="102" t="s">
        <v>34</v>
      </c>
      <c r="B11" s="506">
        <f>SUM(B8:B10)</f>
        <v>0</v>
      </c>
      <c r="C11" s="506">
        <f t="shared" ref="C11:R11" si="0">SUM(C8:C10)</f>
        <v>0</v>
      </c>
      <c r="D11" s="506">
        <f t="shared" si="0"/>
        <v>0</v>
      </c>
      <c r="E11" s="506">
        <f t="shared" si="0"/>
        <v>0</v>
      </c>
      <c r="F11" s="506">
        <f t="shared" si="0"/>
        <v>0</v>
      </c>
      <c r="G11" s="506">
        <f t="shared" si="0"/>
        <v>0</v>
      </c>
      <c r="H11" s="506">
        <f t="shared" si="0"/>
        <v>450</v>
      </c>
      <c r="I11" s="506">
        <f t="shared" si="0"/>
        <v>0</v>
      </c>
      <c r="J11" s="506">
        <f t="shared" si="0"/>
        <v>0</v>
      </c>
      <c r="K11" s="506">
        <f t="shared" si="0"/>
        <v>0</v>
      </c>
      <c r="L11" s="506">
        <f t="shared" si="0"/>
        <v>0</v>
      </c>
      <c r="M11" s="506">
        <f t="shared" si="0"/>
        <v>0</v>
      </c>
      <c r="N11" s="506">
        <f t="shared" si="0"/>
        <v>0</v>
      </c>
      <c r="O11" s="506">
        <f t="shared" si="0"/>
        <v>0</v>
      </c>
      <c r="P11" s="506">
        <f t="shared" si="0"/>
        <v>0</v>
      </c>
      <c r="Q11" s="506">
        <f t="shared" si="0"/>
        <v>0</v>
      </c>
      <c r="R11" s="506">
        <f t="shared" si="0"/>
        <v>0</v>
      </c>
      <c r="S11" s="506">
        <f>SUM(S8:S10)</f>
        <v>450</v>
      </c>
    </row>
    <row r="12" spans="1:19" ht="16.5" customHeight="1" x14ac:dyDescent="0.2">
      <c r="A12" s="93"/>
      <c r="B12" s="507"/>
      <c r="C12" s="507"/>
      <c r="D12" s="507"/>
      <c r="E12" s="507"/>
      <c r="F12" s="507"/>
      <c r="G12" s="507"/>
      <c r="H12" s="507"/>
      <c r="I12" s="507"/>
      <c r="J12" s="507"/>
      <c r="K12" s="507"/>
      <c r="L12" s="507"/>
      <c r="M12" s="507"/>
      <c r="N12" s="507"/>
      <c r="O12" s="507"/>
      <c r="P12" s="507"/>
      <c r="Q12" s="507"/>
      <c r="R12" s="507"/>
      <c r="S12" s="507"/>
    </row>
    <row r="13" spans="1:19" s="356" customFormat="1" ht="16.5" customHeight="1" x14ac:dyDescent="0.2">
      <c r="A13" s="336" t="s">
        <v>693</v>
      </c>
      <c r="B13" s="508"/>
      <c r="C13" s="508"/>
      <c r="D13" s="508"/>
      <c r="E13" s="508"/>
      <c r="F13" s="508"/>
      <c r="G13" s="508">
        <v>600</v>
      </c>
      <c r="H13" s="508">
        <v>1200</v>
      </c>
      <c r="I13" s="508"/>
      <c r="J13" s="508"/>
      <c r="K13" s="508"/>
      <c r="L13" s="508"/>
      <c r="M13" s="508"/>
      <c r="N13" s="508">
        <v>400</v>
      </c>
      <c r="O13" s="508"/>
      <c r="P13" s="508"/>
      <c r="Q13" s="508"/>
      <c r="R13" s="508"/>
      <c r="S13" s="508">
        <f t="shared" ref="S13:S26" si="1">SUM(B13:R13)</f>
        <v>2200</v>
      </c>
    </row>
    <row r="14" spans="1:19" ht="16.5" customHeight="1" x14ac:dyDescent="0.2">
      <c r="A14" s="335" t="s">
        <v>35</v>
      </c>
      <c r="B14" s="504"/>
      <c r="C14" s="504"/>
      <c r="D14" s="504"/>
      <c r="E14" s="504"/>
      <c r="F14" s="504">
        <v>800</v>
      </c>
      <c r="G14" s="504"/>
      <c r="H14" s="504">
        <v>1200</v>
      </c>
      <c r="I14" s="504"/>
      <c r="J14" s="504"/>
      <c r="K14" s="504"/>
      <c r="L14" s="504"/>
      <c r="M14" s="504"/>
      <c r="N14" s="504">
        <v>400</v>
      </c>
      <c r="O14" s="504"/>
      <c r="P14" s="504"/>
      <c r="Q14" s="504"/>
      <c r="R14" s="504"/>
      <c r="S14" s="504">
        <f t="shared" si="1"/>
        <v>2400</v>
      </c>
    </row>
    <row r="15" spans="1:19" s="356" customFormat="1" ht="16.5" customHeight="1" x14ac:dyDescent="0.2">
      <c r="A15" s="336" t="s">
        <v>36</v>
      </c>
      <c r="B15" s="508"/>
      <c r="C15" s="508"/>
      <c r="D15" s="508"/>
      <c r="E15" s="508"/>
      <c r="F15" s="508"/>
      <c r="G15" s="508"/>
      <c r="H15" s="508">
        <v>800</v>
      </c>
      <c r="I15" s="508"/>
      <c r="J15" s="508"/>
      <c r="K15" s="508"/>
      <c r="L15" s="508"/>
      <c r="M15" s="508"/>
      <c r="N15" s="508">
        <v>400</v>
      </c>
      <c r="O15" s="508"/>
      <c r="P15" s="508"/>
      <c r="Q15" s="508"/>
      <c r="R15" s="508"/>
      <c r="S15" s="508">
        <f t="shared" si="1"/>
        <v>1200</v>
      </c>
    </row>
    <row r="16" spans="1:19" s="356" customFormat="1" ht="16.5" customHeight="1" x14ac:dyDescent="0.2">
      <c r="A16" s="335" t="s">
        <v>37</v>
      </c>
      <c r="B16" s="504"/>
      <c r="C16" s="504">
        <v>300</v>
      </c>
      <c r="D16" s="504"/>
      <c r="E16" s="504"/>
      <c r="F16" s="504"/>
      <c r="G16" s="504">
        <v>1200</v>
      </c>
      <c r="H16" s="504">
        <v>1600</v>
      </c>
      <c r="I16" s="504"/>
      <c r="J16" s="504"/>
      <c r="K16" s="504"/>
      <c r="L16" s="504"/>
      <c r="M16" s="504"/>
      <c r="N16" s="504">
        <v>400</v>
      </c>
      <c r="O16" s="504"/>
      <c r="P16" s="504"/>
      <c r="Q16" s="504"/>
      <c r="R16" s="504"/>
      <c r="S16" s="504">
        <f t="shared" si="1"/>
        <v>3500</v>
      </c>
    </row>
    <row r="17" spans="1:19" s="356" customFormat="1" ht="16.5" customHeight="1" x14ac:dyDescent="0.2">
      <c r="A17" s="336" t="s">
        <v>38</v>
      </c>
      <c r="B17" s="508"/>
      <c r="C17" s="508">
        <v>300</v>
      </c>
      <c r="D17" s="508"/>
      <c r="E17" s="508"/>
      <c r="F17" s="508"/>
      <c r="G17" s="508">
        <v>1200</v>
      </c>
      <c r="H17" s="508">
        <v>1200</v>
      </c>
      <c r="I17" s="508"/>
      <c r="J17" s="508"/>
      <c r="K17" s="508"/>
      <c r="L17" s="508"/>
      <c r="M17" s="508"/>
      <c r="N17" s="508">
        <v>400</v>
      </c>
      <c r="O17" s="508"/>
      <c r="P17" s="508"/>
      <c r="Q17" s="508"/>
      <c r="R17" s="508"/>
      <c r="S17" s="508">
        <f t="shared" si="1"/>
        <v>3100</v>
      </c>
    </row>
    <row r="18" spans="1:19" s="356" customFormat="1" ht="16.5" customHeight="1" x14ac:dyDescent="0.2">
      <c r="A18" s="335" t="s">
        <v>39</v>
      </c>
      <c r="B18" s="504"/>
      <c r="C18" s="504"/>
      <c r="D18" s="504"/>
      <c r="E18" s="504"/>
      <c r="F18" s="504"/>
      <c r="G18" s="504"/>
      <c r="H18" s="504">
        <v>800</v>
      </c>
      <c r="I18" s="504"/>
      <c r="J18" s="504"/>
      <c r="K18" s="504"/>
      <c r="L18" s="504"/>
      <c r="M18" s="504"/>
      <c r="N18" s="509">
        <v>400</v>
      </c>
      <c r="O18" s="504"/>
      <c r="P18" s="504"/>
      <c r="Q18" s="504"/>
      <c r="R18" s="504"/>
      <c r="S18" s="504">
        <f t="shared" si="1"/>
        <v>1200</v>
      </c>
    </row>
    <row r="19" spans="1:19" s="356" customFormat="1" ht="16.5" customHeight="1" x14ac:dyDescent="0.2">
      <c r="A19" s="336" t="s">
        <v>40</v>
      </c>
      <c r="B19" s="508"/>
      <c r="C19" s="508"/>
      <c r="D19" s="508"/>
      <c r="E19" s="508"/>
      <c r="F19" s="508">
        <v>800</v>
      </c>
      <c r="G19" s="508"/>
      <c r="H19" s="508">
        <v>800</v>
      </c>
      <c r="I19" s="508"/>
      <c r="J19" s="508">
        <v>300</v>
      </c>
      <c r="K19" s="508"/>
      <c r="L19" s="508"/>
      <c r="M19" s="508"/>
      <c r="N19" s="508">
        <v>400</v>
      </c>
      <c r="O19" s="508"/>
      <c r="P19" s="508"/>
      <c r="Q19" s="508"/>
      <c r="R19" s="508"/>
      <c r="S19" s="508">
        <f t="shared" si="1"/>
        <v>2300</v>
      </c>
    </row>
    <row r="20" spans="1:19" s="356" customFormat="1" ht="16.5" customHeight="1" x14ac:dyDescent="0.2">
      <c r="A20" s="335" t="s">
        <v>667</v>
      </c>
      <c r="B20" s="504"/>
      <c r="C20" s="504"/>
      <c r="D20" s="504"/>
      <c r="E20" s="504"/>
      <c r="F20" s="504">
        <v>800</v>
      </c>
      <c r="G20" s="504"/>
      <c r="H20" s="504">
        <v>1200</v>
      </c>
      <c r="I20" s="504"/>
      <c r="J20" s="504"/>
      <c r="K20" s="504"/>
      <c r="L20" s="504"/>
      <c r="M20" s="504"/>
      <c r="N20" s="504">
        <v>400</v>
      </c>
      <c r="O20" s="504"/>
      <c r="P20" s="504"/>
      <c r="Q20" s="504"/>
      <c r="R20" s="504"/>
      <c r="S20" s="504">
        <f t="shared" si="1"/>
        <v>2400</v>
      </c>
    </row>
    <row r="21" spans="1:19" s="356" customFormat="1" ht="16.5" customHeight="1" x14ac:dyDescent="0.2">
      <c r="A21" s="336" t="s">
        <v>41</v>
      </c>
      <c r="B21" s="508"/>
      <c r="C21" s="508">
        <v>300</v>
      </c>
      <c r="D21" s="508"/>
      <c r="E21" s="508"/>
      <c r="F21" s="508"/>
      <c r="G21" s="508"/>
      <c r="H21" s="508">
        <v>1200</v>
      </c>
      <c r="I21" s="508"/>
      <c r="J21" s="508"/>
      <c r="K21" s="508"/>
      <c r="L21" s="508"/>
      <c r="M21" s="508"/>
      <c r="N21" s="508">
        <v>400</v>
      </c>
      <c r="O21" s="508">
        <v>600</v>
      </c>
      <c r="P21" s="508"/>
      <c r="Q21" s="508"/>
      <c r="R21" s="508"/>
      <c r="S21" s="508">
        <f t="shared" si="1"/>
        <v>2500</v>
      </c>
    </row>
    <row r="22" spans="1:19" s="356" customFormat="1" ht="16.5" customHeight="1" x14ac:dyDescent="0.2">
      <c r="A22" s="335" t="s">
        <v>42</v>
      </c>
      <c r="B22" s="504"/>
      <c r="C22" s="504">
        <v>300</v>
      </c>
      <c r="D22" s="504"/>
      <c r="E22" s="504"/>
      <c r="F22" s="504"/>
      <c r="G22" s="504"/>
      <c r="H22" s="504">
        <v>800</v>
      </c>
      <c r="I22" s="504"/>
      <c r="J22" s="504"/>
      <c r="K22" s="504"/>
      <c r="L22" s="504"/>
      <c r="M22" s="504"/>
      <c r="N22" s="504">
        <v>400</v>
      </c>
      <c r="O22" s="504"/>
      <c r="P22" s="504"/>
      <c r="Q22" s="504"/>
      <c r="R22" s="504"/>
      <c r="S22" s="504">
        <f t="shared" si="1"/>
        <v>1500</v>
      </c>
    </row>
    <row r="23" spans="1:19" s="356" customFormat="1" ht="16.5" customHeight="1" x14ac:dyDescent="0.2">
      <c r="A23" s="336" t="s">
        <v>43</v>
      </c>
      <c r="B23" s="508"/>
      <c r="C23" s="508"/>
      <c r="D23" s="508"/>
      <c r="E23" s="508"/>
      <c r="F23" s="508"/>
      <c r="G23" s="508"/>
      <c r="H23" s="508">
        <v>1200</v>
      </c>
      <c r="I23" s="508"/>
      <c r="J23" s="508"/>
      <c r="K23" s="508"/>
      <c r="L23" s="508"/>
      <c r="M23" s="508"/>
      <c r="N23" s="508">
        <v>400</v>
      </c>
      <c r="O23" s="508"/>
      <c r="P23" s="508"/>
      <c r="Q23" s="508"/>
      <c r="R23" s="508"/>
      <c r="S23" s="508">
        <f t="shared" si="1"/>
        <v>1600</v>
      </c>
    </row>
    <row r="24" spans="1:19" s="395" customFormat="1" ht="16.5" customHeight="1" x14ac:dyDescent="0.2">
      <c r="A24" s="427" t="s">
        <v>818</v>
      </c>
      <c r="B24" s="504"/>
      <c r="C24" s="504">
        <v>300</v>
      </c>
      <c r="D24" s="504"/>
      <c r="E24" s="504"/>
      <c r="F24" s="504"/>
      <c r="G24" s="504"/>
      <c r="H24" s="504">
        <v>1200</v>
      </c>
      <c r="I24" s="504"/>
      <c r="J24" s="504"/>
      <c r="K24" s="504"/>
      <c r="L24" s="504"/>
      <c r="M24" s="504"/>
      <c r="N24" s="504">
        <v>400</v>
      </c>
      <c r="O24" s="504"/>
      <c r="P24" s="504"/>
      <c r="Q24" s="504"/>
      <c r="R24" s="504"/>
      <c r="S24" s="504">
        <f t="shared" si="1"/>
        <v>1900</v>
      </c>
    </row>
    <row r="25" spans="1:19" s="356" customFormat="1" ht="16.5" customHeight="1" x14ac:dyDescent="0.2">
      <c r="A25" s="336" t="s">
        <v>44</v>
      </c>
      <c r="B25" s="508"/>
      <c r="C25" s="508">
        <v>300</v>
      </c>
      <c r="D25" s="508"/>
      <c r="E25" s="508"/>
      <c r="F25" s="508"/>
      <c r="G25" s="508"/>
      <c r="H25" s="508">
        <v>1200</v>
      </c>
      <c r="I25" s="508"/>
      <c r="J25" s="508"/>
      <c r="K25" s="508"/>
      <c r="L25" s="508"/>
      <c r="M25" s="508"/>
      <c r="N25" s="508">
        <v>400</v>
      </c>
      <c r="O25" s="508"/>
      <c r="P25" s="508"/>
      <c r="Q25" s="508"/>
      <c r="R25" s="508"/>
      <c r="S25" s="508">
        <f t="shared" si="1"/>
        <v>1900</v>
      </c>
    </row>
    <row r="26" spans="1:19" s="356" customFormat="1" ht="16.5" customHeight="1" x14ac:dyDescent="0.2">
      <c r="A26" s="335" t="s">
        <v>45</v>
      </c>
      <c r="B26" s="504"/>
      <c r="C26" s="504"/>
      <c r="D26" s="504"/>
      <c r="E26" s="504"/>
      <c r="F26" s="504"/>
      <c r="G26" s="504"/>
      <c r="H26" s="504">
        <v>800</v>
      </c>
      <c r="I26" s="504"/>
      <c r="J26" s="504"/>
      <c r="K26" s="504"/>
      <c r="L26" s="504"/>
      <c r="M26" s="504"/>
      <c r="N26" s="504">
        <v>400</v>
      </c>
      <c r="O26" s="504"/>
      <c r="P26" s="504"/>
      <c r="Q26" s="504"/>
      <c r="R26" s="504"/>
      <c r="S26" s="504">
        <f t="shared" si="1"/>
        <v>1200</v>
      </c>
    </row>
    <row r="27" spans="1:19" ht="16.5" customHeight="1" x14ac:dyDescent="0.2">
      <c r="A27" s="102" t="s">
        <v>46</v>
      </c>
      <c r="B27" s="506">
        <f>SUM(B13:B26)</f>
        <v>0</v>
      </c>
      <c r="C27" s="506">
        <f t="shared" ref="C27:R27" si="2">SUM(C13:C26)</f>
        <v>1800</v>
      </c>
      <c r="D27" s="506">
        <f t="shared" si="2"/>
        <v>0</v>
      </c>
      <c r="E27" s="506">
        <f t="shared" si="2"/>
        <v>0</v>
      </c>
      <c r="F27" s="506">
        <f t="shared" si="2"/>
        <v>2400</v>
      </c>
      <c r="G27" s="506">
        <f t="shared" si="2"/>
        <v>3000</v>
      </c>
      <c r="H27" s="506">
        <f t="shared" si="2"/>
        <v>15200</v>
      </c>
      <c r="I27" s="506">
        <f t="shared" si="2"/>
        <v>0</v>
      </c>
      <c r="J27" s="506">
        <f t="shared" si="2"/>
        <v>300</v>
      </c>
      <c r="K27" s="506">
        <f t="shared" si="2"/>
        <v>0</v>
      </c>
      <c r="L27" s="506">
        <f t="shared" si="2"/>
        <v>0</v>
      </c>
      <c r="M27" s="506">
        <f t="shared" si="2"/>
        <v>0</v>
      </c>
      <c r="N27" s="506">
        <f t="shared" si="2"/>
        <v>5600</v>
      </c>
      <c r="O27" s="506">
        <f t="shared" si="2"/>
        <v>600</v>
      </c>
      <c r="P27" s="506">
        <f t="shared" si="2"/>
        <v>0</v>
      </c>
      <c r="Q27" s="506">
        <f t="shared" si="2"/>
        <v>0</v>
      </c>
      <c r="R27" s="506">
        <f t="shared" si="2"/>
        <v>0</v>
      </c>
      <c r="S27" s="506">
        <f>SUM(S13:S26)</f>
        <v>28900</v>
      </c>
    </row>
    <row r="28" spans="1:19" ht="16.5" customHeight="1" x14ac:dyDescent="0.2">
      <c r="A28" s="93"/>
      <c r="B28" s="507"/>
      <c r="C28" s="507"/>
      <c r="D28" s="507"/>
      <c r="E28" s="507"/>
      <c r="F28" s="507"/>
      <c r="G28" s="507"/>
      <c r="H28" s="507"/>
      <c r="I28" s="507"/>
      <c r="J28" s="507"/>
      <c r="K28" s="507"/>
      <c r="L28" s="507"/>
      <c r="M28" s="507"/>
      <c r="N28" s="507"/>
      <c r="O28" s="507"/>
      <c r="P28" s="507"/>
      <c r="Q28" s="507"/>
      <c r="R28" s="507"/>
      <c r="S28" s="507"/>
    </row>
    <row r="29" spans="1:19" ht="16.5" customHeight="1" x14ac:dyDescent="0.2">
      <c r="A29" s="93" t="s">
        <v>47</v>
      </c>
      <c r="B29" s="507"/>
      <c r="C29" s="507"/>
      <c r="D29" s="507"/>
      <c r="E29" s="507"/>
      <c r="F29" s="507">
        <v>400</v>
      </c>
      <c r="G29" s="507">
        <v>1200</v>
      </c>
      <c r="H29" s="507">
        <v>1600</v>
      </c>
      <c r="I29" s="507"/>
      <c r="J29" s="510">
        <v>300</v>
      </c>
      <c r="K29" s="507"/>
      <c r="L29" s="507"/>
      <c r="M29" s="507"/>
      <c r="N29" s="507">
        <v>400</v>
      </c>
      <c r="O29" s="507"/>
      <c r="P29" s="507"/>
      <c r="Q29" s="507"/>
      <c r="R29" s="507"/>
      <c r="S29" s="507">
        <f>SUM(B29:R29)</f>
        <v>3900</v>
      </c>
    </row>
    <row r="30" spans="1:19" ht="16.5" customHeight="1" x14ac:dyDescent="0.2">
      <c r="A30" s="204" t="s">
        <v>48</v>
      </c>
      <c r="B30" s="510"/>
      <c r="C30" s="510"/>
      <c r="D30" s="511"/>
      <c r="E30" s="510"/>
      <c r="F30" s="507">
        <v>800</v>
      </c>
      <c r="G30" s="507">
        <v>600</v>
      </c>
      <c r="H30" s="507">
        <v>2000</v>
      </c>
      <c r="I30" s="510"/>
      <c r="J30" s="510"/>
      <c r="K30" s="510"/>
      <c r="L30" s="510"/>
      <c r="M30" s="507"/>
      <c r="N30" s="510">
        <v>400</v>
      </c>
      <c r="O30" s="510"/>
      <c r="P30" s="510"/>
      <c r="Q30" s="510"/>
      <c r="R30" s="510"/>
      <c r="S30" s="510">
        <f>SUM(B30:R30)</f>
        <v>3800</v>
      </c>
    </row>
    <row r="31" spans="1:19" ht="16.5" customHeight="1" x14ac:dyDescent="0.2">
      <c r="A31" s="102" t="s">
        <v>49</v>
      </c>
      <c r="B31" s="506">
        <f>SUM(B29:B30)</f>
        <v>0</v>
      </c>
      <c r="C31" s="506">
        <f t="shared" ref="C31:R31" si="3">SUM(C29:C30)</f>
        <v>0</v>
      </c>
      <c r="D31" s="506">
        <f t="shared" si="3"/>
        <v>0</v>
      </c>
      <c r="E31" s="506">
        <f t="shared" si="3"/>
        <v>0</v>
      </c>
      <c r="F31" s="506">
        <f t="shared" si="3"/>
        <v>1200</v>
      </c>
      <c r="G31" s="506">
        <f t="shared" si="3"/>
        <v>1800</v>
      </c>
      <c r="H31" s="506">
        <f t="shared" si="3"/>
        <v>3600</v>
      </c>
      <c r="I31" s="506">
        <f t="shared" si="3"/>
        <v>0</v>
      </c>
      <c r="J31" s="506">
        <f t="shared" si="3"/>
        <v>300</v>
      </c>
      <c r="K31" s="506">
        <f t="shared" si="3"/>
        <v>0</v>
      </c>
      <c r="L31" s="506">
        <f t="shared" si="3"/>
        <v>0</v>
      </c>
      <c r="M31" s="506">
        <f t="shared" si="3"/>
        <v>0</v>
      </c>
      <c r="N31" s="506">
        <f t="shared" si="3"/>
        <v>800</v>
      </c>
      <c r="O31" s="506">
        <f t="shared" si="3"/>
        <v>0</v>
      </c>
      <c r="P31" s="506">
        <f t="shared" si="3"/>
        <v>0</v>
      </c>
      <c r="Q31" s="506">
        <f t="shared" si="3"/>
        <v>0</v>
      </c>
      <c r="R31" s="506">
        <f t="shared" si="3"/>
        <v>0</v>
      </c>
      <c r="S31" s="506">
        <f>SUM(S29:S30)</f>
        <v>7700</v>
      </c>
    </row>
    <row r="32" spans="1:19" ht="16.5" customHeight="1" x14ac:dyDescent="0.2">
      <c r="A32" s="93"/>
      <c r="B32" s="507"/>
      <c r="C32" s="507"/>
      <c r="D32" s="507"/>
      <c r="E32" s="507"/>
      <c r="F32" s="507"/>
      <c r="G32" s="507"/>
      <c r="H32" s="507"/>
      <c r="I32" s="507"/>
      <c r="J32" s="507"/>
      <c r="K32" s="507"/>
      <c r="L32" s="507"/>
      <c r="M32" s="507"/>
      <c r="N32" s="507"/>
      <c r="O32" s="507"/>
      <c r="P32" s="507"/>
      <c r="Q32" s="507"/>
      <c r="R32" s="507"/>
      <c r="S32" s="507"/>
    </row>
    <row r="33" spans="1:20" ht="16.5" customHeight="1" x14ac:dyDescent="0.2">
      <c r="A33" s="93" t="s">
        <v>50</v>
      </c>
      <c r="B33" s="507"/>
      <c r="C33" s="507"/>
      <c r="D33" s="507"/>
      <c r="E33" s="507"/>
      <c r="F33" s="507"/>
      <c r="G33" s="507"/>
      <c r="H33" s="507">
        <v>400</v>
      </c>
      <c r="I33" s="507"/>
      <c r="J33" s="507"/>
      <c r="K33" s="507"/>
      <c r="L33" s="507"/>
      <c r="M33" s="507"/>
      <c r="N33" s="507"/>
      <c r="O33" s="507"/>
      <c r="P33" s="507"/>
      <c r="Q33" s="507"/>
      <c r="R33" s="507"/>
      <c r="S33" s="507">
        <f>SUM(B33:R33)</f>
        <v>400</v>
      </c>
    </row>
    <row r="34" spans="1:20" ht="16.5" customHeight="1" x14ac:dyDescent="0.2">
      <c r="A34" s="93" t="s">
        <v>51</v>
      </c>
      <c r="B34" s="507"/>
      <c r="C34" s="507"/>
      <c r="D34" s="507">
        <v>1800</v>
      </c>
      <c r="E34" s="507"/>
      <c r="F34" s="507">
        <v>800</v>
      </c>
      <c r="G34" s="512"/>
      <c r="H34" s="507">
        <v>2000</v>
      </c>
      <c r="I34" s="507">
        <v>600</v>
      </c>
      <c r="J34" s="507">
        <v>300</v>
      </c>
      <c r="K34" s="507"/>
      <c r="L34" s="507"/>
      <c r="M34" s="507"/>
      <c r="N34" s="507">
        <v>400</v>
      </c>
      <c r="O34" s="507">
        <v>600</v>
      </c>
      <c r="P34" s="507"/>
      <c r="Q34" s="507"/>
      <c r="R34" s="507"/>
      <c r="S34" s="507">
        <f>SUM(B34:R34)</f>
        <v>6500</v>
      </c>
    </row>
    <row r="35" spans="1:20" ht="16.5" customHeight="1" x14ac:dyDescent="0.2">
      <c r="A35" s="395" t="s">
        <v>871</v>
      </c>
      <c r="B35" s="507"/>
      <c r="C35" s="507"/>
      <c r="D35" s="507">
        <v>1200</v>
      </c>
      <c r="E35" s="507"/>
      <c r="F35" s="507">
        <v>800</v>
      </c>
      <c r="G35" s="507"/>
      <c r="H35" s="507">
        <v>2000</v>
      </c>
      <c r="I35" s="507"/>
      <c r="J35" s="507"/>
      <c r="K35" s="507"/>
      <c r="L35" s="507"/>
      <c r="M35" s="507"/>
      <c r="N35" s="507">
        <v>400</v>
      </c>
      <c r="O35" s="507"/>
      <c r="P35" s="507"/>
      <c r="Q35" s="507"/>
      <c r="R35" s="507"/>
      <c r="S35" s="507">
        <f>SUM(B35:R35)</f>
        <v>4400</v>
      </c>
    </row>
    <row r="36" spans="1:20" ht="16.5" customHeight="1" x14ac:dyDescent="0.2">
      <c r="A36" s="93" t="s">
        <v>52</v>
      </c>
      <c r="B36" s="507"/>
      <c r="C36" s="507"/>
      <c r="D36" s="507"/>
      <c r="E36" s="507"/>
      <c r="F36" s="507"/>
      <c r="G36" s="507"/>
      <c r="H36" s="507">
        <v>800</v>
      </c>
      <c r="I36" s="507"/>
      <c r="J36" s="507"/>
      <c r="K36" s="507"/>
      <c r="L36" s="507"/>
      <c r="M36" s="507"/>
      <c r="N36" s="507"/>
      <c r="O36" s="507"/>
      <c r="P36" s="507"/>
      <c r="Q36" s="507"/>
      <c r="R36" s="507"/>
      <c r="S36" s="507">
        <f>SUM(B36:R36)</f>
        <v>800</v>
      </c>
    </row>
    <row r="37" spans="1:20" ht="16.5" customHeight="1" x14ac:dyDescent="0.2">
      <c r="A37" s="102" t="s">
        <v>53</v>
      </c>
      <c r="B37" s="506">
        <f>SUM(B33:B36)</f>
        <v>0</v>
      </c>
      <c r="C37" s="506">
        <f t="shared" ref="C37:R37" si="4">SUM(C33:C36)</f>
        <v>0</v>
      </c>
      <c r="D37" s="506">
        <f t="shared" si="4"/>
        <v>3000</v>
      </c>
      <c r="E37" s="506">
        <f t="shared" si="4"/>
        <v>0</v>
      </c>
      <c r="F37" s="506">
        <f t="shared" si="4"/>
        <v>1600</v>
      </c>
      <c r="G37" s="506">
        <f t="shared" si="4"/>
        <v>0</v>
      </c>
      <c r="H37" s="506">
        <f t="shared" si="4"/>
        <v>5200</v>
      </c>
      <c r="I37" s="506">
        <f t="shared" si="4"/>
        <v>600</v>
      </c>
      <c r="J37" s="506">
        <f t="shared" si="4"/>
        <v>300</v>
      </c>
      <c r="K37" s="506">
        <f t="shared" si="4"/>
        <v>0</v>
      </c>
      <c r="L37" s="506">
        <f t="shared" si="4"/>
        <v>0</v>
      </c>
      <c r="M37" s="506">
        <f t="shared" si="4"/>
        <v>0</v>
      </c>
      <c r="N37" s="506">
        <f t="shared" si="4"/>
        <v>800</v>
      </c>
      <c r="O37" s="506">
        <f t="shared" si="4"/>
        <v>600</v>
      </c>
      <c r="P37" s="506">
        <f t="shared" si="4"/>
        <v>0</v>
      </c>
      <c r="Q37" s="506">
        <f t="shared" si="4"/>
        <v>0</v>
      </c>
      <c r="R37" s="506">
        <f t="shared" si="4"/>
        <v>0</v>
      </c>
      <c r="S37" s="506">
        <f>SUM(S33:S36)</f>
        <v>12100</v>
      </c>
      <c r="T37" s="414"/>
    </row>
    <row r="38" spans="1:20" s="175" customFormat="1" ht="16.5" customHeight="1" x14ac:dyDescent="0.2">
      <c r="A38" s="204"/>
      <c r="B38" s="510"/>
      <c r="C38" s="510"/>
      <c r="D38" s="510"/>
      <c r="E38" s="510"/>
      <c r="F38" s="510"/>
      <c r="G38" s="510"/>
      <c r="H38" s="510"/>
      <c r="I38" s="510"/>
      <c r="J38" s="510"/>
      <c r="K38" s="510"/>
      <c r="L38" s="510"/>
      <c r="M38" s="510"/>
      <c r="N38" s="510"/>
      <c r="O38" s="510"/>
      <c r="P38" s="510"/>
      <c r="Q38" s="510"/>
      <c r="R38" s="510"/>
      <c r="S38" s="510"/>
    </row>
    <row r="39" spans="1:20" s="397" customFormat="1" ht="16.5" customHeight="1" x14ac:dyDescent="0.2">
      <c r="A39" s="569" t="s">
        <v>858</v>
      </c>
      <c r="B39" s="568">
        <f t="shared" ref="B39:R39" si="5">B11+B27+B31+B37</f>
        <v>0</v>
      </c>
      <c r="C39" s="568">
        <f t="shared" si="5"/>
        <v>1800</v>
      </c>
      <c r="D39" s="568">
        <f t="shared" si="5"/>
        <v>3000</v>
      </c>
      <c r="E39" s="568">
        <f t="shared" si="5"/>
        <v>0</v>
      </c>
      <c r="F39" s="568">
        <f t="shared" si="5"/>
        <v>5200</v>
      </c>
      <c r="G39" s="568">
        <f t="shared" si="5"/>
        <v>4800</v>
      </c>
      <c r="H39" s="568">
        <f t="shared" si="5"/>
        <v>24450</v>
      </c>
      <c r="I39" s="568">
        <f t="shared" si="5"/>
        <v>600</v>
      </c>
      <c r="J39" s="568">
        <f t="shared" si="5"/>
        <v>900</v>
      </c>
      <c r="K39" s="568">
        <f t="shared" si="5"/>
        <v>0</v>
      </c>
      <c r="L39" s="568">
        <f t="shared" si="5"/>
        <v>0</v>
      </c>
      <c r="M39" s="568">
        <f t="shared" si="5"/>
        <v>0</v>
      </c>
      <c r="N39" s="568">
        <f t="shared" si="5"/>
        <v>7200</v>
      </c>
      <c r="O39" s="568">
        <f t="shared" si="5"/>
        <v>1200</v>
      </c>
      <c r="P39" s="568">
        <f t="shared" si="5"/>
        <v>0</v>
      </c>
      <c r="Q39" s="568">
        <f t="shared" si="5"/>
        <v>0</v>
      </c>
      <c r="R39" s="568">
        <f t="shared" si="5"/>
        <v>0</v>
      </c>
      <c r="S39" s="568">
        <f>S11+S27+S31+S37</f>
        <v>49150</v>
      </c>
    </row>
    <row r="40" spans="1:20" s="397" customFormat="1" ht="16.5" customHeight="1" x14ac:dyDescent="0.2">
      <c r="A40" s="204"/>
      <c r="B40" s="510"/>
      <c r="C40" s="510"/>
      <c r="D40" s="510"/>
      <c r="E40" s="510"/>
      <c r="F40" s="510"/>
      <c r="G40" s="510"/>
      <c r="H40" s="510"/>
      <c r="I40" s="510"/>
      <c r="J40" s="510"/>
      <c r="K40" s="510"/>
      <c r="L40" s="510"/>
      <c r="M40" s="510"/>
      <c r="N40" s="510"/>
      <c r="O40" s="510"/>
      <c r="P40" s="510"/>
      <c r="Q40" s="510"/>
      <c r="R40" s="510"/>
      <c r="S40" s="510"/>
    </row>
    <row r="41" spans="1:20" ht="16.5" customHeight="1" x14ac:dyDescent="0.2">
      <c r="A41" s="471" t="s">
        <v>794</v>
      </c>
      <c r="B41" s="513">
        <v>1500</v>
      </c>
      <c r="C41" s="513"/>
      <c r="D41" s="513"/>
      <c r="E41" s="513">
        <v>750</v>
      </c>
      <c r="F41" s="513"/>
      <c r="G41" s="513"/>
      <c r="H41" s="513"/>
      <c r="I41" s="513"/>
      <c r="J41" s="513"/>
      <c r="K41" s="513">
        <v>1400</v>
      </c>
      <c r="L41" s="513">
        <v>1465</v>
      </c>
      <c r="M41" s="513">
        <v>3000</v>
      </c>
      <c r="N41" s="513"/>
      <c r="O41" s="513"/>
      <c r="P41" s="513">
        <v>2885</v>
      </c>
      <c r="Q41" s="513">
        <v>750</v>
      </c>
      <c r="R41" s="513">
        <v>310</v>
      </c>
      <c r="S41" s="514">
        <f>SUM(B41:R41)</f>
        <v>12060</v>
      </c>
    </row>
    <row r="42" spans="1:20" ht="16.5" customHeight="1" x14ac:dyDescent="0.2">
      <c r="A42" s="93"/>
      <c r="B42" s="507"/>
      <c r="C42" s="507"/>
      <c r="D42" s="507"/>
      <c r="E42" s="507"/>
      <c r="F42" s="507"/>
      <c r="G42" s="507"/>
      <c r="H42" s="507"/>
      <c r="I42" s="507"/>
      <c r="J42" s="507"/>
      <c r="K42" s="507"/>
      <c r="L42" s="507"/>
      <c r="M42" s="507"/>
      <c r="N42" s="507"/>
      <c r="O42" s="507"/>
      <c r="P42" s="507"/>
      <c r="Q42" s="507"/>
      <c r="R42" s="507"/>
      <c r="S42" s="515" t="s">
        <v>398</v>
      </c>
    </row>
    <row r="43" spans="1:20" ht="16.5" customHeight="1" x14ac:dyDescent="0.2">
      <c r="A43" s="570" t="s">
        <v>859</v>
      </c>
      <c r="B43" s="516">
        <f>SUM(B11+B27+B31+B37+B41)</f>
        <v>1500</v>
      </c>
      <c r="C43" s="516">
        <f t="shared" ref="C43:R43" si="6">SUM(C11+C27+C31+C37+C41)</f>
        <v>1800</v>
      </c>
      <c r="D43" s="516">
        <f t="shared" si="6"/>
        <v>3000</v>
      </c>
      <c r="E43" s="516">
        <f t="shared" si="6"/>
        <v>750</v>
      </c>
      <c r="F43" s="516">
        <f t="shared" si="6"/>
        <v>5200</v>
      </c>
      <c r="G43" s="516">
        <f t="shared" si="6"/>
        <v>4800</v>
      </c>
      <c r="H43" s="516">
        <f t="shared" si="6"/>
        <v>24450</v>
      </c>
      <c r="I43" s="516">
        <f t="shared" si="6"/>
        <v>600</v>
      </c>
      <c r="J43" s="516">
        <f t="shared" si="6"/>
        <v>900</v>
      </c>
      <c r="K43" s="516">
        <f t="shared" si="6"/>
        <v>1400</v>
      </c>
      <c r="L43" s="516">
        <f t="shared" si="6"/>
        <v>1465</v>
      </c>
      <c r="M43" s="516">
        <f t="shared" si="6"/>
        <v>3000</v>
      </c>
      <c r="N43" s="516">
        <f t="shared" si="6"/>
        <v>7200</v>
      </c>
      <c r="O43" s="516">
        <f t="shared" si="6"/>
        <v>1200</v>
      </c>
      <c r="P43" s="516">
        <f t="shared" si="6"/>
        <v>2885</v>
      </c>
      <c r="Q43" s="516">
        <f t="shared" si="6"/>
        <v>750</v>
      </c>
      <c r="R43" s="516">
        <f t="shared" si="6"/>
        <v>310</v>
      </c>
      <c r="S43" s="516">
        <f>SUM(S11+S27+S31+S37+S41)</f>
        <v>61210</v>
      </c>
    </row>
    <row r="44" spans="1:20" s="175" customFormat="1" ht="16.5" customHeight="1" x14ac:dyDescent="0.2">
      <c r="A44" s="204"/>
      <c r="B44" s="205"/>
      <c r="C44" s="205"/>
      <c r="D44" s="205"/>
      <c r="E44" s="202"/>
      <c r="F44" s="205"/>
      <c r="G44" s="205"/>
      <c r="H44" s="205"/>
      <c r="I44" s="205"/>
      <c r="J44" s="205"/>
      <c r="K44" s="205"/>
      <c r="L44" s="202"/>
      <c r="M44" s="208"/>
      <c r="N44" s="208"/>
      <c r="O44" s="208"/>
      <c r="P44" s="202"/>
      <c r="Q44" s="213"/>
      <c r="R44" s="205"/>
      <c r="S44" s="205"/>
    </row>
    <row r="45" spans="1:20" ht="16.5" customHeight="1" x14ac:dyDescent="0.2">
      <c r="A45" s="93"/>
      <c r="B45" s="100"/>
      <c r="C45" s="100"/>
      <c r="D45" s="100"/>
      <c r="E45" s="100" t="s">
        <v>93</v>
      </c>
      <c r="H45" s="99"/>
      <c r="I45" s="99"/>
      <c r="J45" s="99"/>
      <c r="K45" s="99"/>
      <c r="L45" s="104"/>
      <c r="M45" s="207"/>
      <c r="N45" s="207"/>
      <c r="O45" s="207"/>
      <c r="P45" s="104"/>
      <c r="Q45" s="211"/>
      <c r="R45" s="99"/>
      <c r="S45" s="99"/>
    </row>
    <row r="46" spans="1:20" ht="16.5" customHeight="1" x14ac:dyDescent="0.35">
      <c r="A46" s="9" t="s">
        <v>94</v>
      </c>
      <c r="B46" s="103" t="s">
        <v>67</v>
      </c>
      <c r="C46" s="103"/>
      <c r="D46" s="103" t="s">
        <v>95</v>
      </c>
      <c r="E46" s="103" t="s">
        <v>96</v>
      </c>
      <c r="H46" s="99"/>
      <c r="I46" s="99" t="s">
        <v>282</v>
      </c>
      <c r="J46" s="99"/>
      <c r="K46" s="99"/>
      <c r="L46" s="104"/>
      <c r="M46" s="207"/>
      <c r="N46" s="207"/>
      <c r="O46" s="207"/>
      <c r="P46" s="104"/>
      <c r="Q46" s="211"/>
      <c r="R46" s="99"/>
      <c r="S46" s="99"/>
    </row>
    <row r="47" spans="1:20" ht="16.5" customHeight="1" x14ac:dyDescent="0.2">
      <c r="A47" s="94">
        <v>1210</v>
      </c>
      <c r="B47" s="104">
        <f>SUM(B43:I43)</f>
        <v>42100</v>
      </c>
      <c r="C47" s="104"/>
      <c r="D47" s="104"/>
      <c r="E47" s="104">
        <f>SUM(D47-B47)</f>
        <v>-42100</v>
      </c>
      <c r="H47" s="99"/>
      <c r="I47" s="99" t="s">
        <v>283</v>
      </c>
      <c r="J47" s="99"/>
      <c r="K47" s="99"/>
      <c r="L47" s="104"/>
      <c r="M47" s="207"/>
      <c r="N47" s="207"/>
      <c r="O47" s="207"/>
      <c r="P47" s="104"/>
      <c r="Q47" s="211"/>
      <c r="R47" s="99"/>
      <c r="S47" s="99"/>
    </row>
    <row r="48" spans="1:20" ht="16.5" customHeight="1" x14ac:dyDescent="0.2">
      <c r="A48" s="94">
        <v>2110</v>
      </c>
      <c r="B48" s="104">
        <f>SUM(J43:J43)</f>
        <v>900</v>
      </c>
      <c r="C48" s="104"/>
      <c r="D48" s="104"/>
      <c r="E48" s="104">
        <f>SUM(D48-B48)</f>
        <v>-900</v>
      </c>
      <c r="H48" s="99"/>
      <c r="I48" s="99"/>
      <c r="J48" s="99"/>
      <c r="K48" s="99"/>
      <c r="L48" s="104"/>
      <c r="M48" s="207"/>
      <c r="N48" s="207"/>
      <c r="O48" s="207"/>
      <c r="P48" s="104"/>
      <c r="Q48" s="211"/>
      <c r="R48" s="99"/>
      <c r="S48" s="99"/>
    </row>
    <row r="49" spans="1:19" ht="16.5" customHeight="1" x14ac:dyDescent="0.2">
      <c r="A49" s="94">
        <v>2115</v>
      </c>
      <c r="B49" s="104">
        <f>SUM(K43:L43)</f>
        <v>2865</v>
      </c>
      <c r="C49" s="104"/>
      <c r="D49" s="104"/>
      <c r="E49" s="104">
        <f t="shared" ref="E49:E54" si="7">SUM(D49-B49)</f>
        <v>-2865</v>
      </c>
      <c r="H49" s="99"/>
      <c r="I49" s="99" t="s">
        <v>429</v>
      </c>
      <c r="J49" s="99"/>
      <c r="K49" s="99"/>
      <c r="L49" s="104"/>
      <c r="M49" s="207"/>
      <c r="N49" s="207"/>
      <c r="O49" s="207"/>
      <c r="P49" s="104"/>
      <c r="Q49" s="211"/>
      <c r="R49" s="99"/>
      <c r="S49" s="99"/>
    </row>
    <row r="50" spans="1:19" ht="16.5" customHeight="1" x14ac:dyDescent="0.2">
      <c r="A50" s="94">
        <v>2140</v>
      </c>
      <c r="B50" s="104">
        <f>SUM(M43)</f>
        <v>3000</v>
      </c>
      <c r="C50" s="104"/>
      <c r="D50" s="104"/>
      <c r="E50" s="104">
        <f t="shared" si="7"/>
        <v>-3000</v>
      </c>
      <c r="H50" s="99"/>
      <c r="I50" s="99" t="s">
        <v>430</v>
      </c>
      <c r="J50" s="99"/>
      <c r="K50" s="99"/>
      <c r="L50" s="104"/>
      <c r="M50" s="207"/>
      <c r="N50" s="207"/>
      <c r="O50" s="207"/>
      <c r="P50" s="104"/>
      <c r="Q50" s="211"/>
      <c r="R50" s="99"/>
      <c r="S50" s="99"/>
    </row>
    <row r="51" spans="1:19" ht="16.5" customHeight="1" x14ac:dyDescent="0.2">
      <c r="A51" s="94">
        <v>2152</v>
      </c>
      <c r="B51" s="104">
        <f>SUM(N43)</f>
        <v>7200</v>
      </c>
      <c r="C51" s="104"/>
      <c r="D51" s="104"/>
      <c r="E51" s="104">
        <f t="shared" si="7"/>
        <v>-7200</v>
      </c>
      <c r="H51" s="99"/>
      <c r="I51" s="99"/>
      <c r="J51" s="99"/>
      <c r="K51" s="99"/>
      <c r="L51" s="104"/>
      <c r="M51" s="207"/>
      <c r="N51" s="207"/>
      <c r="O51" s="207"/>
      <c r="P51" s="104"/>
      <c r="Q51" s="211"/>
      <c r="R51" s="99"/>
      <c r="S51" s="99"/>
    </row>
    <row r="52" spans="1:19" ht="16.5" customHeight="1" x14ac:dyDescent="0.2">
      <c r="A52" s="94">
        <v>2153</v>
      </c>
      <c r="B52" s="104">
        <f>O43</f>
        <v>1200</v>
      </c>
      <c r="C52" s="104"/>
      <c r="D52" s="104"/>
      <c r="E52" s="104">
        <f t="shared" si="7"/>
        <v>-1200</v>
      </c>
      <c r="H52" s="99"/>
      <c r="I52" s="365"/>
      <c r="J52" s="99"/>
      <c r="K52" s="99"/>
      <c r="L52" s="104"/>
      <c r="M52" s="207"/>
      <c r="N52" s="207"/>
      <c r="O52" s="207"/>
      <c r="P52" s="104"/>
      <c r="Q52" s="211"/>
      <c r="R52" s="99"/>
      <c r="S52" s="99"/>
    </row>
    <row r="53" spans="1:19" ht="16.5" customHeight="1" x14ac:dyDescent="0.2">
      <c r="A53" s="94">
        <v>2171</v>
      </c>
      <c r="B53" s="104">
        <f>P43</f>
        <v>2885</v>
      </c>
      <c r="C53" s="104"/>
      <c r="D53" s="104"/>
      <c r="E53" s="104">
        <f t="shared" si="7"/>
        <v>-2885</v>
      </c>
      <c r="H53" s="99"/>
      <c r="I53" s="365"/>
      <c r="J53" s="99"/>
      <c r="K53" s="99"/>
      <c r="L53" s="104"/>
      <c r="M53" s="207"/>
      <c r="N53" s="207"/>
      <c r="O53" s="207"/>
      <c r="P53" s="104"/>
      <c r="Q53" s="211"/>
      <c r="R53" s="99"/>
      <c r="S53" s="99"/>
    </row>
    <row r="54" spans="1:19" ht="16.5" customHeight="1" x14ac:dyDescent="0.2">
      <c r="A54" s="94">
        <v>2172</v>
      </c>
      <c r="B54" s="104">
        <f>Q43</f>
        <v>750</v>
      </c>
      <c r="C54" s="104"/>
      <c r="D54" s="104"/>
      <c r="E54" s="104">
        <f t="shared" si="7"/>
        <v>-750</v>
      </c>
      <c r="H54" s="99"/>
      <c r="I54" s="365"/>
      <c r="J54" s="99"/>
      <c r="K54" s="99"/>
      <c r="L54" s="104"/>
      <c r="M54" s="207"/>
      <c r="N54" s="207"/>
      <c r="O54" s="207"/>
      <c r="P54" s="104"/>
      <c r="Q54" s="211"/>
      <c r="R54" s="99"/>
      <c r="S54" s="99"/>
    </row>
    <row r="55" spans="1:19" ht="16.5" customHeight="1" x14ac:dyDescent="0.2">
      <c r="A55" s="94">
        <v>2240</v>
      </c>
      <c r="B55" s="104">
        <f>R43</f>
        <v>310</v>
      </c>
      <c r="C55" s="104"/>
      <c r="D55" s="104"/>
      <c r="E55" s="104">
        <f>SUM(D55-B55)</f>
        <v>-310</v>
      </c>
      <c r="H55" s="99"/>
      <c r="I55" s="365"/>
      <c r="J55" s="99"/>
      <c r="K55" s="99"/>
      <c r="L55" s="104"/>
      <c r="M55" s="207"/>
      <c r="N55" s="207"/>
      <c r="O55" s="207"/>
      <c r="P55" s="104"/>
      <c r="Q55" s="211"/>
      <c r="R55" s="99"/>
      <c r="S55" s="99"/>
    </row>
    <row r="56" spans="1:19" ht="16.5" customHeight="1" x14ac:dyDescent="0.2">
      <c r="A56" s="94" t="s">
        <v>29</v>
      </c>
      <c r="B56" s="98">
        <f>SUM(B47:B55)</f>
        <v>61210</v>
      </c>
      <c r="C56" s="98"/>
      <c r="D56" s="98">
        <f>SUM(D47:D55)</f>
        <v>0</v>
      </c>
      <c r="E56" s="98">
        <f>SUM(E47:E55)</f>
        <v>-61210</v>
      </c>
      <c r="H56" s="99"/>
      <c r="I56" s="365"/>
      <c r="J56" s="99"/>
      <c r="K56" s="99"/>
      <c r="L56" s="104"/>
      <c r="M56" s="207"/>
      <c r="N56" s="207"/>
      <c r="O56" s="207"/>
      <c r="P56" s="104"/>
      <c r="Q56" s="211"/>
      <c r="R56" s="99"/>
      <c r="S56" s="99"/>
    </row>
    <row r="57" spans="1:19" ht="16.5" customHeight="1" x14ac:dyDescent="0.2">
      <c r="A57" s="96"/>
      <c r="B57" s="97"/>
      <c r="C57" s="97"/>
      <c r="D57" s="97"/>
      <c r="E57" s="206"/>
      <c r="F57" s="97"/>
      <c r="G57" s="97"/>
      <c r="H57" s="97"/>
      <c r="I57" s="99"/>
      <c r="J57" s="99"/>
      <c r="K57" s="99"/>
      <c r="L57" s="104"/>
      <c r="M57" s="207"/>
      <c r="N57" s="207"/>
      <c r="O57" s="207"/>
      <c r="P57" s="104"/>
      <c r="Q57" s="211"/>
      <c r="R57" s="99"/>
      <c r="S57" s="99"/>
    </row>
    <row r="58" spans="1:19" x14ac:dyDescent="0.2">
      <c r="A58" s="387"/>
      <c r="B58" s="97"/>
      <c r="C58" s="97"/>
      <c r="D58" s="97"/>
      <c r="E58" s="206"/>
      <c r="F58" s="97"/>
      <c r="G58" s="97"/>
      <c r="H58" s="97"/>
      <c r="I58" s="97"/>
      <c r="J58" s="97"/>
      <c r="K58" s="97"/>
      <c r="L58" s="206"/>
      <c r="M58" s="209"/>
      <c r="N58" s="209"/>
      <c r="O58" s="209"/>
      <c r="P58" s="206"/>
      <c r="Q58" s="214"/>
      <c r="R58" s="97"/>
      <c r="S58" s="97"/>
    </row>
    <row r="59" spans="1:19" x14ac:dyDescent="0.2">
      <c r="A59" s="387"/>
      <c r="B59" s="97"/>
      <c r="C59" s="97"/>
      <c r="D59" s="97"/>
      <c r="E59" s="206"/>
      <c r="F59" s="97"/>
      <c r="G59" s="97"/>
      <c r="H59" s="97"/>
      <c r="I59" s="97"/>
      <c r="J59" s="97"/>
      <c r="K59" s="97"/>
      <c r="L59" s="206"/>
      <c r="M59" s="209"/>
      <c r="N59" s="209"/>
      <c r="O59" s="209"/>
      <c r="P59" s="206"/>
      <c r="Q59" s="214"/>
      <c r="R59" s="97"/>
      <c r="S59" s="97"/>
    </row>
    <row r="60" spans="1:19" x14ac:dyDescent="0.2">
      <c r="A60" s="387"/>
      <c r="B60" s="97"/>
      <c r="C60" s="97"/>
      <c r="D60" s="97"/>
      <c r="E60" s="206"/>
      <c r="F60" s="97"/>
      <c r="G60" s="97"/>
      <c r="H60" s="97"/>
      <c r="I60" s="97"/>
      <c r="J60" s="97"/>
      <c r="K60" s="97"/>
      <c r="L60" s="206"/>
      <c r="M60" s="209"/>
      <c r="N60" s="209"/>
      <c r="O60" s="209"/>
      <c r="P60" s="206"/>
      <c r="Q60" s="214"/>
      <c r="R60" s="97"/>
      <c r="S60" s="97"/>
    </row>
    <row r="61" spans="1:19" x14ac:dyDescent="0.2">
      <c r="I61" s="97"/>
      <c r="J61" s="97"/>
      <c r="K61" s="97"/>
      <c r="L61" s="206"/>
      <c r="M61" s="209"/>
      <c r="N61" s="209"/>
      <c r="O61" s="209"/>
      <c r="P61" s="206"/>
      <c r="Q61" s="214"/>
      <c r="R61" s="97"/>
      <c r="S61" s="97"/>
    </row>
  </sheetData>
  <mergeCells count="1">
    <mergeCell ref="A1:S1"/>
  </mergeCells>
  <phoneticPr fontId="0" type="noConversion"/>
  <printOptions horizontalCentered="1"/>
  <pageMargins left="0.23" right="0.23" top="0.46" bottom="0.42" header="0.37" footer="0.2"/>
  <pageSetup scale="58" firstPageNumber="16" orientation="landscape" useFirstPageNumber="1" r:id="rId1"/>
  <headerFooter alignWithMargins="0">
    <oddFooter>&amp;L&amp;7&amp;Z&amp;F   &amp;A
&amp;C&amp;6
Page &amp;P&amp;R&amp;7&amp;D   &amp;T</oddFooter>
  </headerFooter>
  <ignoredErrors>
    <ignoredError sqref="B7:C7 C6:D6 E7:R7 E6:R6" numberStoredAsText="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K58"/>
  <sheetViews>
    <sheetView zoomScale="115" zoomScaleNormal="115" workbookViewId="0"/>
  </sheetViews>
  <sheetFormatPr defaultRowHeight="12.75" x14ac:dyDescent="0.2"/>
  <cols>
    <col min="1" max="1" width="24" customWidth="1"/>
    <col min="2" max="2" width="15.7109375" style="850" customWidth="1"/>
    <col min="3" max="3" width="14.5703125" customWidth="1"/>
    <col min="5" max="5" width="11.7109375" bestFit="1" customWidth="1"/>
    <col min="6" max="6" width="12" bestFit="1" customWidth="1"/>
    <col min="7" max="7" width="11.7109375" bestFit="1" customWidth="1"/>
    <col min="8" max="8" width="16.7109375" style="842" customWidth="1"/>
    <col min="9" max="9" width="9.7109375" customWidth="1"/>
    <col min="11" max="11" width="9.7109375" bestFit="1" customWidth="1"/>
  </cols>
  <sheetData>
    <row r="1" spans="1:11" ht="18" x14ac:dyDescent="0.25">
      <c r="A1" s="241" t="s">
        <v>1242</v>
      </c>
      <c r="B1" s="846"/>
      <c r="C1" s="241"/>
      <c r="D1" s="123"/>
    </row>
    <row r="2" spans="1:11" x14ac:dyDescent="0.2">
      <c r="A2" s="882" t="s">
        <v>563</v>
      </c>
      <c r="B2" s="882"/>
      <c r="C2" s="882"/>
      <c r="D2" s="120"/>
    </row>
    <row r="3" spans="1:11" x14ac:dyDescent="0.2">
      <c r="A3" s="525"/>
      <c r="B3" s="847"/>
      <c r="C3" s="177"/>
    </row>
    <row r="4" spans="1:11" x14ac:dyDescent="0.2">
      <c r="A4" s="229" t="s">
        <v>401</v>
      </c>
      <c r="B4" s="848"/>
      <c r="C4" s="229"/>
      <c r="D4" s="242"/>
      <c r="E4" s="242"/>
    </row>
    <row r="5" spans="1:11" x14ac:dyDescent="0.2">
      <c r="A5" s="230"/>
      <c r="B5" s="849" t="s">
        <v>402</v>
      </c>
      <c r="C5" s="230"/>
      <c r="D5" s="243"/>
      <c r="E5" s="243"/>
    </row>
    <row r="6" spans="1:11" x14ac:dyDescent="0.2">
      <c r="C6" s="191"/>
    </row>
    <row r="7" spans="1:11" x14ac:dyDescent="0.2">
      <c r="A7" s="46"/>
      <c r="B7" s="851" t="s">
        <v>1199</v>
      </c>
      <c r="C7" s="307" t="s">
        <v>1234</v>
      </c>
      <c r="E7" s="895" t="s">
        <v>1243</v>
      </c>
      <c r="F7" s="896"/>
    </row>
    <row r="8" spans="1:11" x14ac:dyDescent="0.2">
      <c r="A8" s="52" t="s">
        <v>9</v>
      </c>
      <c r="B8" s="852" t="s">
        <v>371</v>
      </c>
      <c r="C8" s="193" t="s">
        <v>67</v>
      </c>
      <c r="E8" s="897"/>
      <c r="F8" s="898"/>
    </row>
    <row r="9" spans="1:11" x14ac:dyDescent="0.2">
      <c r="A9" s="51"/>
      <c r="B9" s="853" t="s">
        <v>126</v>
      </c>
      <c r="C9" s="402" t="s">
        <v>1244</v>
      </c>
      <c r="E9" s="897"/>
      <c r="F9" s="898"/>
      <c r="H9" s="842">
        <f>H46/B42</f>
        <v>180.21654406696825</v>
      </c>
    </row>
    <row r="10" spans="1:11" x14ac:dyDescent="0.2">
      <c r="C10" s="191"/>
      <c r="E10" s="897"/>
      <c r="F10" s="898"/>
      <c r="H10" s="843"/>
      <c r="K10" s="191"/>
    </row>
    <row r="11" spans="1:11" s="162" customFormat="1" x14ac:dyDescent="0.2">
      <c r="A11" s="162" t="s">
        <v>30</v>
      </c>
      <c r="B11" s="854">
        <v>4.8</v>
      </c>
      <c r="C11" s="400">
        <f>$H$9*B11</f>
        <v>865.03941152144762</v>
      </c>
      <c r="E11" s="899"/>
      <c r="F11" s="900"/>
      <c r="H11" s="844"/>
      <c r="K11" s="400"/>
    </row>
    <row r="12" spans="1:11" s="162" customFormat="1" x14ac:dyDescent="0.2">
      <c r="A12" s="162" t="s">
        <v>32</v>
      </c>
      <c r="B12" s="854">
        <v>5.13</v>
      </c>
      <c r="C12" s="400">
        <f>$H$9*B12</f>
        <v>924.51087106354714</v>
      </c>
      <c r="E12" s="899"/>
      <c r="F12" s="900"/>
      <c r="H12" s="844"/>
    </row>
    <row r="13" spans="1:11" s="162" customFormat="1" x14ac:dyDescent="0.2">
      <c r="A13" s="162" t="s">
        <v>33</v>
      </c>
      <c r="B13" s="854">
        <v>3.93</v>
      </c>
      <c r="C13" s="400">
        <f>$H$9*B13</f>
        <v>708.25101818318524</v>
      </c>
      <c r="E13" s="899"/>
      <c r="F13" s="900"/>
      <c r="H13" s="844"/>
    </row>
    <row r="14" spans="1:11" x14ac:dyDescent="0.2">
      <c r="A14" s="5" t="s">
        <v>34</v>
      </c>
      <c r="B14" s="855">
        <f>SUM(B11:B13)</f>
        <v>13.86</v>
      </c>
      <c r="C14" s="192">
        <f>SUM(C11:C13)</f>
        <v>2497.8013007681802</v>
      </c>
      <c r="E14" s="901"/>
      <c r="F14" s="902"/>
    </row>
    <row r="15" spans="1:11" x14ac:dyDescent="0.2">
      <c r="C15" s="191"/>
    </row>
    <row r="16" spans="1:11" s="162" customFormat="1" x14ac:dyDescent="0.2">
      <c r="A16" s="162" t="s">
        <v>693</v>
      </c>
      <c r="B16" s="854">
        <v>35.799999999999997</v>
      </c>
      <c r="C16" s="400">
        <f t="shared" ref="C16:C29" si="0">$H$9*B16</f>
        <v>6451.752277597463</v>
      </c>
      <c r="H16" s="844"/>
    </row>
    <row r="17" spans="1:8" s="162" customFormat="1" x14ac:dyDescent="0.2">
      <c r="A17" s="162" t="s">
        <v>35</v>
      </c>
      <c r="B17" s="854">
        <v>38.5</v>
      </c>
      <c r="C17" s="400">
        <f t="shared" si="0"/>
        <v>6938.336946578278</v>
      </c>
      <c r="H17" s="844"/>
    </row>
    <row r="18" spans="1:8" s="162" customFormat="1" x14ac:dyDescent="0.2">
      <c r="A18" s="162" t="s">
        <v>36</v>
      </c>
      <c r="B18" s="854">
        <v>26.43</v>
      </c>
      <c r="C18" s="400">
        <f t="shared" si="0"/>
        <v>4763.1232596899708</v>
      </c>
      <c r="H18" s="844"/>
    </row>
    <row r="19" spans="1:8" s="162" customFormat="1" x14ac:dyDescent="0.2">
      <c r="A19" s="162" t="s">
        <v>37</v>
      </c>
      <c r="B19" s="854">
        <v>44.04</v>
      </c>
      <c r="C19" s="400">
        <f t="shared" si="0"/>
        <v>7936.7366007092814</v>
      </c>
      <c r="H19" s="844"/>
    </row>
    <row r="20" spans="1:8" s="162" customFormat="1" x14ac:dyDescent="0.2">
      <c r="A20" s="162" t="s">
        <v>38</v>
      </c>
      <c r="B20" s="854">
        <v>39.299999999999997</v>
      </c>
      <c r="C20" s="400">
        <f t="shared" si="0"/>
        <v>7082.5101818318517</v>
      </c>
      <c r="D20" s="401"/>
      <c r="H20" s="844"/>
    </row>
    <row r="21" spans="1:8" s="162" customFormat="1" x14ac:dyDescent="0.2">
      <c r="A21" s="162" t="s">
        <v>39</v>
      </c>
      <c r="B21" s="854">
        <v>26.6</v>
      </c>
      <c r="C21" s="400">
        <f t="shared" si="0"/>
        <v>4793.760072181356</v>
      </c>
      <c r="H21" s="844"/>
    </row>
    <row r="22" spans="1:8" s="162" customFormat="1" x14ac:dyDescent="0.2">
      <c r="A22" s="162" t="s">
        <v>40</v>
      </c>
      <c r="B22" s="854">
        <v>31.1</v>
      </c>
      <c r="C22" s="400">
        <f t="shared" si="0"/>
        <v>5604.7345204827134</v>
      </c>
      <c r="H22" s="844"/>
    </row>
    <row r="23" spans="1:8" s="162" customFormat="1" x14ac:dyDescent="0.2">
      <c r="A23" s="162" t="s">
        <v>667</v>
      </c>
      <c r="B23" s="854">
        <v>34.299999999999997</v>
      </c>
      <c r="C23" s="400">
        <f t="shared" si="0"/>
        <v>6181.4274614970109</v>
      </c>
      <c r="H23" s="844"/>
    </row>
    <row r="24" spans="1:8" s="162" customFormat="1" x14ac:dyDescent="0.2">
      <c r="A24" s="162" t="s">
        <v>41</v>
      </c>
      <c r="B24" s="854">
        <v>34.799999999999997</v>
      </c>
      <c r="C24" s="400">
        <f t="shared" si="0"/>
        <v>6271.5357335304943</v>
      </c>
      <c r="H24" s="844"/>
    </row>
    <row r="25" spans="1:8" s="162" customFormat="1" x14ac:dyDescent="0.2">
      <c r="A25" s="162" t="s">
        <v>42</v>
      </c>
      <c r="B25" s="854">
        <v>27.2</v>
      </c>
      <c r="C25" s="400">
        <f t="shared" si="0"/>
        <v>4901.8899986215365</v>
      </c>
      <c r="H25" s="844"/>
    </row>
    <row r="26" spans="1:8" s="162" customFormat="1" x14ac:dyDescent="0.2">
      <c r="A26" s="162" t="s">
        <v>43</v>
      </c>
      <c r="B26" s="854">
        <v>29.3</v>
      </c>
      <c r="C26" s="400">
        <f t="shared" si="0"/>
        <v>5280.3447411621701</v>
      </c>
      <c r="H26" s="844"/>
    </row>
    <row r="27" spans="1:8" s="162" customFormat="1" x14ac:dyDescent="0.2">
      <c r="A27" s="162" t="s">
        <v>818</v>
      </c>
      <c r="B27" s="854">
        <v>33.6</v>
      </c>
      <c r="C27" s="400">
        <f t="shared" si="0"/>
        <v>6055.2758806501333</v>
      </c>
      <c r="H27" s="844"/>
    </row>
    <row r="28" spans="1:8" s="162" customFormat="1" x14ac:dyDescent="0.2">
      <c r="A28" s="162" t="s">
        <v>44</v>
      </c>
      <c r="B28" s="854">
        <v>33.9</v>
      </c>
      <c r="C28" s="400">
        <f t="shared" si="0"/>
        <v>6109.3408438702236</v>
      </c>
      <c r="H28" s="844"/>
    </row>
    <row r="29" spans="1:8" s="162" customFormat="1" x14ac:dyDescent="0.2">
      <c r="A29" s="162" t="s">
        <v>45</v>
      </c>
      <c r="B29" s="854">
        <v>29.5</v>
      </c>
      <c r="C29" s="400">
        <f t="shared" si="0"/>
        <v>5316.3880499755633</v>
      </c>
      <c r="H29" s="844"/>
    </row>
    <row r="30" spans="1:8" x14ac:dyDescent="0.2">
      <c r="A30" s="5" t="s">
        <v>46</v>
      </c>
      <c r="B30" s="855">
        <f>SUM(B16:B29)</f>
        <v>464.37</v>
      </c>
      <c r="C30" s="192">
        <f>SUM(C16:C29)</f>
        <v>83687.15656837805</v>
      </c>
    </row>
    <row r="31" spans="1:8" x14ac:dyDescent="0.2">
      <c r="C31" s="191"/>
    </row>
    <row r="32" spans="1:8" s="162" customFormat="1" x14ac:dyDescent="0.2">
      <c r="A32" s="162" t="s">
        <v>47</v>
      </c>
      <c r="B32" s="856">
        <v>53.4</v>
      </c>
      <c r="C32" s="400">
        <f>$H$9*B32</f>
        <v>9623.5634531761043</v>
      </c>
      <c r="H32" s="844"/>
    </row>
    <row r="33" spans="1:9" s="162" customFormat="1" x14ac:dyDescent="0.2">
      <c r="A33" s="162" t="s">
        <v>48</v>
      </c>
      <c r="B33" s="856">
        <v>55.22</v>
      </c>
      <c r="C33" s="400">
        <f>$H$9*B33</f>
        <v>9951.5575633779863</v>
      </c>
      <c r="H33" s="844"/>
    </row>
    <row r="34" spans="1:9" x14ac:dyDescent="0.2">
      <c r="A34" s="5" t="s">
        <v>49</v>
      </c>
      <c r="B34" s="855">
        <f>SUM(B32:B33)</f>
        <v>108.62</v>
      </c>
      <c r="C34" s="192">
        <f>SUM(C32:C33)</f>
        <v>19575.121016554091</v>
      </c>
    </row>
    <row r="35" spans="1:9" x14ac:dyDescent="0.2">
      <c r="C35" s="191"/>
    </row>
    <row r="36" spans="1:9" s="162" customFormat="1" x14ac:dyDescent="0.2">
      <c r="A36" s="162" t="s">
        <v>50</v>
      </c>
      <c r="B36" s="854">
        <v>21.98</v>
      </c>
      <c r="C36" s="598">
        <f>$H$9*B36</f>
        <v>3961.1596385919624</v>
      </c>
      <c r="H36" s="844"/>
    </row>
    <row r="37" spans="1:9" s="162" customFormat="1" x14ac:dyDescent="0.2">
      <c r="A37" s="162" t="s">
        <v>51</v>
      </c>
      <c r="B37" s="854">
        <v>84.68</v>
      </c>
      <c r="C37" s="598">
        <f>$H$9*B37</f>
        <v>15260.736951590872</v>
      </c>
      <c r="F37" s="400"/>
      <c r="H37" s="844"/>
    </row>
    <row r="38" spans="1:9" s="162" customFormat="1" x14ac:dyDescent="0.2">
      <c r="A38" s="162" t="s">
        <v>871</v>
      </c>
      <c r="B38" s="854">
        <v>81.900000000000006</v>
      </c>
      <c r="C38" s="598">
        <f>$H$9*B38</f>
        <v>14759.734959084701</v>
      </c>
      <c r="H38" s="844"/>
    </row>
    <row r="39" spans="1:9" s="162" customFormat="1" x14ac:dyDescent="0.2">
      <c r="A39" s="162" t="s">
        <v>52</v>
      </c>
      <c r="B39" s="854">
        <v>22.58</v>
      </c>
      <c r="C39" s="598">
        <f>$H$9*B39</f>
        <v>4069.2895650321429</v>
      </c>
      <c r="H39" s="844"/>
    </row>
    <row r="40" spans="1:9" x14ac:dyDescent="0.2">
      <c r="A40" s="5" t="s">
        <v>53</v>
      </c>
      <c r="B40" s="855">
        <f>SUM(B36:B39)</f>
        <v>211.14</v>
      </c>
      <c r="C40" s="192">
        <f>SUM(C36:C39)</f>
        <v>38050.921114299679</v>
      </c>
      <c r="E40" s="191"/>
    </row>
    <row r="41" spans="1:9" x14ac:dyDescent="0.2">
      <c r="C41" s="191"/>
    </row>
    <row r="42" spans="1:9" x14ac:dyDescent="0.2">
      <c r="A42" s="130" t="s">
        <v>169</v>
      </c>
      <c r="B42" s="857">
        <f>SUM(B14+B30+B34+B40)</f>
        <v>797.99</v>
      </c>
      <c r="C42" s="279">
        <f>SUM(C14+C30+C34+C40)</f>
        <v>143811</v>
      </c>
      <c r="E42" s="191"/>
      <c r="F42" s="191"/>
      <c r="G42" s="191"/>
    </row>
    <row r="43" spans="1:9" x14ac:dyDescent="0.2">
      <c r="E43" s="191"/>
    </row>
    <row r="44" spans="1:9" x14ac:dyDescent="0.2">
      <c r="A44" t="s">
        <v>313</v>
      </c>
      <c r="C44" s="191">
        <v>4617</v>
      </c>
    </row>
    <row r="45" spans="1:9" x14ac:dyDescent="0.2">
      <c r="C45" s="191"/>
    </row>
    <row r="46" spans="1:9" x14ac:dyDescent="0.2">
      <c r="A46" s="7" t="s">
        <v>170</v>
      </c>
      <c r="B46" s="858"/>
      <c r="C46" s="280">
        <f>SUM(C42:C44)</f>
        <v>148428</v>
      </c>
      <c r="G46" s="191"/>
      <c r="H46" s="842">
        <v>143811</v>
      </c>
      <c r="I46" s="191">
        <f>C46-148428</f>
        <v>0</v>
      </c>
    </row>
    <row r="47" spans="1:9" s="175" customFormat="1" x14ac:dyDescent="0.2">
      <c r="B47" s="859"/>
      <c r="C47" s="281"/>
      <c r="H47" s="845"/>
    </row>
    <row r="48" spans="1:9" x14ac:dyDescent="0.2">
      <c r="A48" t="s">
        <v>394</v>
      </c>
    </row>
    <row r="49" spans="1:8" x14ac:dyDescent="0.2">
      <c r="A49" s="42" t="s">
        <v>312</v>
      </c>
    </row>
    <row r="50" spans="1:8" s="356" customFormat="1" x14ac:dyDescent="0.2">
      <c r="A50" s="42" t="s">
        <v>672</v>
      </c>
      <c r="B50" s="850"/>
      <c r="H50" s="842"/>
    </row>
    <row r="51" spans="1:8" x14ac:dyDescent="0.2">
      <c r="A51" s="387"/>
    </row>
    <row r="52" spans="1:8" x14ac:dyDescent="0.2">
      <c r="A52" s="395"/>
    </row>
    <row r="53" spans="1:8" s="395" customFormat="1" x14ac:dyDescent="0.2">
      <c r="A53" s="387"/>
      <c r="B53" s="850"/>
      <c r="H53" s="842"/>
    </row>
    <row r="54" spans="1:8" x14ac:dyDescent="0.2">
      <c r="A54" s="387"/>
    </row>
    <row r="55" spans="1:8" x14ac:dyDescent="0.2">
      <c r="A55" s="387"/>
    </row>
    <row r="56" spans="1:8" x14ac:dyDescent="0.2">
      <c r="A56" s="387"/>
    </row>
    <row r="57" spans="1:8" x14ac:dyDescent="0.2">
      <c r="A57" s="387"/>
    </row>
    <row r="58" spans="1:8" x14ac:dyDescent="0.2">
      <c r="A58" s="387"/>
    </row>
  </sheetData>
  <mergeCells count="2">
    <mergeCell ref="A2:C2"/>
    <mergeCell ref="E7:F14"/>
  </mergeCells>
  <phoneticPr fontId="22" type="noConversion"/>
  <printOptions horizontalCentered="1"/>
  <pageMargins left="0.75" right="0.75" top="1" bottom="1" header="0.5" footer="0.5"/>
  <pageSetup scale="86" firstPageNumber="18" orientation="portrait" useFirstPageNumber="1" r:id="rId1"/>
  <headerFooter alignWithMargins="0">
    <oddFooter>&amp;L&amp;6&amp;Z&amp;F   &amp;A&amp;C&amp;6                                                                                             Page &amp;P&amp;R&amp;6&amp;D   &amp;T</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I58"/>
  <sheetViews>
    <sheetView zoomScale="130" zoomScaleNormal="130" workbookViewId="0"/>
  </sheetViews>
  <sheetFormatPr defaultRowHeight="12.75" x14ac:dyDescent="0.2"/>
  <cols>
    <col min="1" max="1" width="24.28515625" customWidth="1"/>
    <col min="2" max="2" width="11.7109375" style="403" bestFit="1" customWidth="1"/>
    <col min="3" max="3" width="12.7109375" style="260" customWidth="1"/>
    <col min="6" max="6" width="10.28515625" bestFit="1" customWidth="1"/>
    <col min="7" max="7" width="9.7109375" bestFit="1" customWidth="1"/>
    <col min="9" max="9" width="9.140625" hidden="1" customWidth="1"/>
  </cols>
  <sheetData>
    <row r="1" spans="1:9" ht="18" x14ac:dyDescent="0.25">
      <c r="A1" s="241" t="s">
        <v>1245</v>
      </c>
      <c r="B1" s="404"/>
      <c r="C1" s="241"/>
      <c r="D1" s="334"/>
    </row>
    <row r="2" spans="1:9" x14ac:dyDescent="0.2">
      <c r="A2" s="882" t="s">
        <v>601</v>
      </c>
      <c r="B2" s="882"/>
      <c r="C2" s="882"/>
    </row>
    <row r="3" spans="1:9" x14ac:dyDescent="0.2">
      <c r="A3" s="525"/>
      <c r="B3" s="405"/>
      <c r="C3" s="257"/>
    </row>
    <row r="4" spans="1:9" x14ac:dyDescent="0.2">
      <c r="A4" s="229" t="s">
        <v>405</v>
      </c>
      <c r="B4" s="406"/>
      <c r="C4" s="258"/>
      <c r="D4" s="81"/>
      <c r="E4" s="81"/>
      <c r="F4" s="81"/>
      <c r="G4" s="81"/>
    </row>
    <row r="5" spans="1:9" x14ac:dyDescent="0.2">
      <c r="A5" s="230" t="s">
        <v>406</v>
      </c>
      <c r="B5" s="407"/>
      <c r="C5" s="259"/>
      <c r="D5" s="50"/>
      <c r="E5" s="50"/>
      <c r="F5" s="50"/>
      <c r="G5" s="50"/>
    </row>
    <row r="6" spans="1:9" x14ac:dyDescent="0.2">
      <c r="A6" s="177"/>
      <c r="B6" s="405"/>
      <c r="C6" s="257"/>
    </row>
    <row r="8" spans="1:9" ht="12.75" customHeight="1" x14ac:dyDescent="0.2">
      <c r="A8" s="46"/>
      <c r="B8" s="307" t="s">
        <v>1199</v>
      </c>
      <c r="C8" s="308" t="s">
        <v>1234</v>
      </c>
      <c r="F8" s="895" t="s">
        <v>1243</v>
      </c>
      <c r="G8" s="896"/>
    </row>
    <row r="9" spans="1:9" x14ac:dyDescent="0.2">
      <c r="A9" s="52" t="s">
        <v>9</v>
      </c>
      <c r="B9" s="226" t="s">
        <v>281</v>
      </c>
      <c r="C9" s="261" t="s">
        <v>67</v>
      </c>
      <c r="F9" s="897"/>
      <c r="G9" s="898"/>
    </row>
    <row r="10" spans="1:9" x14ac:dyDescent="0.2">
      <c r="A10" s="51"/>
      <c r="B10" s="227" t="s">
        <v>752</v>
      </c>
      <c r="C10" s="392" t="s">
        <v>1246</v>
      </c>
      <c r="F10" s="897"/>
      <c r="G10" s="898"/>
      <c r="I10">
        <f>60072/B43</f>
        <v>119.61351406512118</v>
      </c>
    </row>
    <row r="11" spans="1:9" x14ac:dyDescent="0.2">
      <c r="F11" s="897"/>
      <c r="G11" s="898"/>
    </row>
    <row r="12" spans="1:9" x14ac:dyDescent="0.2">
      <c r="A12" t="s">
        <v>30</v>
      </c>
      <c r="B12" s="225">
        <v>3.6</v>
      </c>
      <c r="C12" s="260">
        <f>$I$10*B12</f>
        <v>430.60865063443623</v>
      </c>
      <c r="F12" s="899"/>
      <c r="G12" s="900"/>
    </row>
    <row r="13" spans="1:9" x14ac:dyDescent="0.2">
      <c r="A13" t="s">
        <v>32</v>
      </c>
      <c r="B13" s="225">
        <v>3.5625</v>
      </c>
      <c r="C13" s="260">
        <f>$I$10*B13</f>
        <v>426.1231438569942</v>
      </c>
      <c r="F13" s="899"/>
      <c r="G13" s="900"/>
    </row>
    <row r="14" spans="1:9" x14ac:dyDescent="0.2">
      <c r="A14" t="s">
        <v>33</v>
      </c>
      <c r="B14" s="225">
        <v>2.8250000000000002</v>
      </c>
      <c r="C14" s="260">
        <f>$I$10*B14</f>
        <v>337.90817723396736</v>
      </c>
      <c r="D14" s="356"/>
      <c r="F14" s="899"/>
      <c r="G14" s="900"/>
    </row>
    <row r="15" spans="1:9" x14ac:dyDescent="0.2">
      <c r="A15" s="5" t="s">
        <v>34</v>
      </c>
      <c r="B15" s="228">
        <f>SUM(B12:B14)</f>
        <v>9.9875000000000007</v>
      </c>
      <c r="C15" s="264">
        <f>SUM(C12:C14)</f>
        <v>1194.6399717253978</v>
      </c>
      <c r="F15" s="901"/>
      <c r="G15" s="902"/>
    </row>
    <row r="16" spans="1:9" x14ac:dyDescent="0.2">
      <c r="B16" s="225"/>
    </row>
    <row r="17" spans="1:5" s="356" customFormat="1" x14ac:dyDescent="0.2">
      <c r="A17" s="356" t="s">
        <v>693</v>
      </c>
      <c r="B17" s="225">
        <v>22.62</v>
      </c>
      <c r="C17" s="260">
        <f t="shared" ref="C17:C30" si="0">$I$10*B17</f>
        <v>2705.6576881530414</v>
      </c>
    </row>
    <row r="18" spans="1:5" x14ac:dyDescent="0.2">
      <c r="A18" t="s">
        <v>35</v>
      </c>
      <c r="B18" s="225">
        <v>24.87</v>
      </c>
      <c r="C18" s="260">
        <f t="shared" si="0"/>
        <v>2974.7880947995641</v>
      </c>
    </row>
    <row r="19" spans="1:5" x14ac:dyDescent="0.2">
      <c r="A19" t="s">
        <v>36</v>
      </c>
      <c r="B19" s="225">
        <v>13.9</v>
      </c>
      <c r="C19" s="260">
        <f t="shared" si="0"/>
        <v>1662.6278455051845</v>
      </c>
    </row>
    <row r="20" spans="1:5" x14ac:dyDescent="0.2">
      <c r="A20" t="s">
        <v>37</v>
      </c>
      <c r="B20" s="225">
        <v>34.94</v>
      </c>
      <c r="C20" s="260">
        <f t="shared" si="0"/>
        <v>4179.2961814353339</v>
      </c>
      <c r="E20" s="370"/>
    </row>
    <row r="21" spans="1:5" x14ac:dyDescent="0.2">
      <c r="A21" t="s">
        <v>38</v>
      </c>
      <c r="B21" s="225">
        <v>40.56</v>
      </c>
      <c r="C21" s="260">
        <f t="shared" si="0"/>
        <v>4851.5241304813153</v>
      </c>
    </row>
    <row r="22" spans="1:5" x14ac:dyDescent="0.2">
      <c r="A22" t="s">
        <v>39</v>
      </c>
      <c r="B22" s="225">
        <v>20.059999999999999</v>
      </c>
      <c r="C22" s="260">
        <f t="shared" si="0"/>
        <v>2399.4470921463308</v>
      </c>
    </row>
    <row r="23" spans="1:5" x14ac:dyDescent="0.2">
      <c r="A23" t="s">
        <v>40</v>
      </c>
      <c r="B23" s="225">
        <v>22.88</v>
      </c>
      <c r="C23" s="260">
        <f t="shared" si="0"/>
        <v>2736.7572018099727</v>
      </c>
    </row>
    <row r="24" spans="1:5" x14ac:dyDescent="0.2">
      <c r="A24" t="s">
        <v>667</v>
      </c>
      <c r="B24" s="225">
        <v>24.06</v>
      </c>
      <c r="C24" s="260">
        <f t="shared" si="0"/>
        <v>2877.9011484068155</v>
      </c>
    </row>
    <row r="25" spans="1:5" x14ac:dyDescent="0.2">
      <c r="A25" t="s">
        <v>41</v>
      </c>
      <c r="B25" s="225">
        <v>19.09</v>
      </c>
      <c r="C25" s="260">
        <f t="shared" si="0"/>
        <v>2283.4219835031631</v>
      </c>
    </row>
    <row r="26" spans="1:5" x14ac:dyDescent="0.2">
      <c r="A26" t="s">
        <v>42</v>
      </c>
      <c r="B26" s="225">
        <v>17.5</v>
      </c>
      <c r="C26" s="260">
        <f t="shared" si="0"/>
        <v>2093.2364961396206</v>
      </c>
    </row>
    <row r="27" spans="1:5" x14ac:dyDescent="0.2">
      <c r="A27" t="s">
        <v>43</v>
      </c>
      <c r="B27" s="225">
        <v>14.75</v>
      </c>
      <c r="C27" s="260">
        <f t="shared" si="0"/>
        <v>1764.2993324605375</v>
      </c>
    </row>
    <row r="28" spans="1:5" s="395" customFormat="1" x14ac:dyDescent="0.2">
      <c r="A28" s="387" t="s">
        <v>818</v>
      </c>
      <c r="B28" s="225">
        <v>16.25</v>
      </c>
      <c r="C28" s="260">
        <f t="shared" si="0"/>
        <v>1943.7196035582192</v>
      </c>
    </row>
    <row r="29" spans="1:5" x14ac:dyDescent="0.2">
      <c r="A29" t="s">
        <v>44</v>
      </c>
      <c r="B29" s="225">
        <v>18.75</v>
      </c>
      <c r="C29" s="260">
        <f t="shared" si="0"/>
        <v>2242.753388721022</v>
      </c>
    </row>
    <row r="30" spans="1:5" x14ac:dyDescent="0.2">
      <c r="A30" t="s">
        <v>45</v>
      </c>
      <c r="B30" s="225">
        <v>15.94</v>
      </c>
      <c r="C30" s="260">
        <f t="shared" si="0"/>
        <v>1906.6394141980315</v>
      </c>
    </row>
    <row r="31" spans="1:5" x14ac:dyDescent="0.2">
      <c r="A31" s="5" t="s">
        <v>46</v>
      </c>
      <c r="B31" s="228">
        <f>SUM(B17:B30)</f>
        <v>306.17</v>
      </c>
      <c r="C31" s="262">
        <f>SUM(C17:C30)</f>
        <v>36622.069601318151</v>
      </c>
    </row>
    <row r="32" spans="1:5" x14ac:dyDescent="0.2">
      <c r="B32" s="225"/>
    </row>
    <row r="33" spans="1:9" x14ac:dyDescent="0.2">
      <c r="A33" t="s">
        <v>47</v>
      </c>
      <c r="B33" s="225">
        <v>31.69</v>
      </c>
      <c r="C33" s="260">
        <f>$I$10*B33</f>
        <v>3790.5522607236903</v>
      </c>
    </row>
    <row r="34" spans="1:9" x14ac:dyDescent="0.2">
      <c r="A34" t="s">
        <v>48</v>
      </c>
      <c r="B34" s="225">
        <v>33.25</v>
      </c>
      <c r="C34" s="260">
        <f>$I$10*B34</f>
        <v>3977.1493426652792</v>
      </c>
    </row>
    <row r="35" spans="1:9" x14ac:dyDescent="0.2">
      <c r="A35" s="5" t="s">
        <v>49</v>
      </c>
      <c r="B35" s="228">
        <f>SUM(B33:B34)</f>
        <v>64.94</v>
      </c>
      <c r="C35" s="262">
        <f>SUM(C33:C34)</f>
        <v>7767.7016033889695</v>
      </c>
    </row>
    <row r="36" spans="1:9" x14ac:dyDescent="0.2">
      <c r="B36" s="225"/>
    </row>
    <row r="37" spans="1:9" x14ac:dyDescent="0.2">
      <c r="A37" t="s">
        <v>50</v>
      </c>
      <c r="B37" s="225">
        <v>7.15</v>
      </c>
      <c r="C37" s="260">
        <f>$I$10*B37</f>
        <v>855.23662556561646</v>
      </c>
    </row>
    <row r="38" spans="1:9" x14ac:dyDescent="0.2">
      <c r="A38" t="s">
        <v>51</v>
      </c>
      <c r="B38" s="225">
        <v>52.31</v>
      </c>
      <c r="C38" s="260">
        <f>$I$10*B38</f>
        <v>6256.9829207464891</v>
      </c>
    </row>
    <row r="39" spans="1:9" x14ac:dyDescent="0.2">
      <c r="A39" s="395" t="s">
        <v>871</v>
      </c>
      <c r="B39" s="225">
        <v>47.38</v>
      </c>
      <c r="C39" s="260">
        <f>$I$10*B39</f>
        <v>5667.2882964054415</v>
      </c>
    </row>
    <row r="40" spans="1:9" x14ac:dyDescent="0.2">
      <c r="A40" t="s">
        <v>52</v>
      </c>
      <c r="B40" s="225">
        <v>14.28</v>
      </c>
      <c r="C40" s="260">
        <f>$I$10*B40</f>
        <v>1708.0809808499305</v>
      </c>
    </row>
    <row r="41" spans="1:9" x14ac:dyDescent="0.2">
      <c r="A41" s="5" t="s">
        <v>53</v>
      </c>
      <c r="B41" s="228">
        <f>SUM(B37:B40)</f>
        <v>121.12</v>
      </c>
      <c r="C41" s="262">
        <f>SUM(C37:C40)</f>
        <v>14487.588823567477</v>
      </c>
      <c r="E41" s="191"/>
    </row>
    <row r="42" spans="1:9" x14ac:dyDescent="0.2">
      <c r="B42" s="225"/>
      <c r="I42" s="431">
        <f>C43-60072</f>
        <v>0</v>
      </c>
    </row>
    <row r="43" spans="1:9" x14ac:dyDescent="0.2">
      <c r="A43" s="23" t="s">
        <v>54</v>
      </c>
      <c r="B43" s="408">
        <f>SUM(B15+B31+B35+B41)</f>
        <v>502.21750000000003</v>
      </c>
      <c r="C43" s="263">
        <f>SUM(C15+C31+C35+C41)</f>
        <v>60071.999999999993</v>
      </c>
      <c r="G43" s="191"/>
      <c r="H43" s="390"/>
    </row>
    <row r="44" spans="1:9" x14ac:dyDescent="0.2">
      <c r="E44" s="191"/>
    </row>
    <row r="45" spans="1:9" x14ac:dyDescent="0.2">
      <c r="A45" t="s">
        <v>84</v>
      </c>
    </row>
    <row r="46" spans="1:9" x14ac:dyDescent="0.2">
      <c r="A46" s="534" t="s">
        <v>820</v>
      </c>
    </row>
    <row r="47" spans="1:9" x14ac:dyDescent="0.2">
      <c r="A47" s="42" t="s">
        <v>695</v>
      </c>
    </row>
    <row r="48" spans="1:9" x14ac:dyDescent="0.2">
      <c r="A48" s="42" t="s">
        <v>791</v>
      </c>
    </row>
    <row r="49" spans="1:1" x14ac:dyDescent="0.2">
      <c r="A49" s="42" t="s">
        <v>792</v>
      </c>
    </row>
    <row r="50" spans="1:1" x14ac:dyDescent="0.2">
      <c r="A50" s="42" t="s">
        <v>793</v>
      </c>
    </row>
    <row r="51" spans="1:1" x14ac:dyDescent="0.2">
      <c r="A51" s="387"/>
    </row>
    <row r="53" spans="1:1" x14ac:dyDescent="0.2">
      <c r="A53" s="387"/>
    </row>
    <row r="54" spans="1:1" x14ac:dyDescent="0.2">
      <c r="A54" s="387"/>
    </row>
    <row r="55" spans="1:1" x14ac:dyDescent="0.2">
      <c r="A55" s="387"/>
    </row>
    <row r="56" spans="1:1" x14ac:dyDescent="0.2">
      <c r="A56" s="387"/>
    </row>
    <row r="57" spans="1:1" x14ac:dyDescent="0.2">
      <c r="A57" s="387"/>
    </row>
    <row r="58" spans="1:1" x14ac:dyDescent="0.2">
      <c r="A58" s="387"/>
    </row>
  </sheetData>
  <mergeCells count="2">
    <mergeCell ref="A2:C2"/>
    <mergeCell ref="F8:G15"/>
  </mergeCells>
  <phoneticPr fontId="0" type="noConversion"/>
  <printOptions horizontalCentered="1"/>
  <pageMargins left="0.75" right="0.75" top="0.56000000000000005" bottom="0.45" header="0.5" footer="0.21"/>
  <pageSetup scale="94" firstPageNumber="24" orientation="portrait" useFirstPageNumber="1" r:id="rId1"/>
  <headerFooter alignWithMargins="0">
    <oddFooter>&amp;L&amp;6&amp;Z&amp;F&amp;C&amp;6Page &amp;P&amp;R&amp;6&amp;D   &amp;T</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K54"/>
  <sheetViews>
    <sheetView workbookViewId="0"/>
  </sheetViews>
  <sheetFormatPr defaultRowHeight="12.75" x14ac:dyDescent="0.2"/>
  <cols>
    <col min="1" max="1" width="15.7109375" customWidth="1"/>
    <col min="4" max="4" width="10.140625" bestFit="1" customWidth="1"/>
    <col min="8" max="8" width="9.5703125" style="167" customWidth="1"/>
    <col min="9" max="9" width="10.42578125" customWidth="1"/>
  </cols>
  <sheetData>
    <row r="1" spans="1:9" ht="18" x14ac:dyDescent="0.25">
      <c r="A1" s="166" t="s">
        <v>637</v>
      </c>
    </row>
    <row r="2" spans="1:9" ht="15.75" x14ac:dyDescent="0.25">
      <c r="A2" s="166" t="s">
        <v>1305</v>
      </c>
    </row>
    <row r="3" spans="1:9" x14ac:dyDescent="0.2">
      <c r="A3" s="162"/>
    </row>
    <row r="4" spans="1:9" x14ac:dyDescent="0.2">
      <c r="A4" s="81"/>
      <c r="B4" s="903" t="s">
        <v>379</v>
      </c>
      <c r="C4" s="903"/>
      <c r="D4" s="903"/>
      <c r="E4" s="903"/>
      <c r="F4" s="903"/>
      <c r="G4" s="81"/>
      <c r="H4" s="168"/>
      <c r="I4" s="168"/>
    </row>
    <row r="5" spans="1:9" ht="51" x14ac:dyDescent="0.2">
      <c r="A5" s="169" t="s">
        <v>9</v>
      </c>
      <c r="B5" s="169" t="s">
        <v>380</v>
      </c>
      <c r="C5" s="169" t="s">
        <v>381</v>
      </c>
      <c r="D5" s="169" t="s">
        <v>382</v>
      </c>
      <c r="E5" s="169" t="s">
        <v>383</v>
      </c>
      <c r="F5" s="170" t="s">
        <v>26</v>
      </c>
      <c r="G5" s="50"/>
      <c r="H5" s="358" t="s">
        <v>1203</v>
      </c>
      <c r="I5" s="831" t="s">
        <v>1306</v>
      </c>
    </row>
    <row r="6" spans="1:9" ht="15.75" x14ac:dyDescent="0.25">
      <c r="A6" s="166" t="s">
        <v>391</v>
      </c>
    </row>
    <row r="7" spans="1:9" x14ac:dyDescent="0.2">
      <c r="A7" t="s">
        <v>384</v>
      </c>
      <c r="B7">
        <v>16</v>
      </c>
      <c r="C7">
        <f>SUM(16*I7)</f>
        <v>16</v>
      </c>
      <c r="D7">
        <v>8</v>
      </c>
      <c r="F7">
        <f>SUM(B7:E7)</f>
        <v>40</v>
      </c>
      <c r="H7" s="26">
        <f>'5-Enrollment Projection'!E8</f>
        <v>36</v>
      </c>
      <c r="I7" s="301">
        <v>1</v>
      </c>
    </row>
    <row r="8" spans="1:9" s="356" customFormat="1" x14ac:dyDescent="0.2">
      <c r="A8" s="356" t="s">
        <v>693</v>
      </c>
      <c r="B8" s="356">
        <v>16</v>
      </c>
      <c r="C8" s="356">
        <f>SUM(16*I8)</f>
        <v>48</v>
      </c>
      <c r="E8" s="356">
        <v>8</v>
      </c>
      <c r="F8" s="356">
        <f t="shared" ref="F8:F24" si="0">SUM(B8:E8)</f>
        <v>72</v>
      </c>
      <c r="H8" s="26">
        <f>'5-Enrollment Projection'!E14</f>
        <v>417</v>
      </c>
      <c r="I8" s="394">
        <v>3</v>
      </c>
    </row>
    <row r="9" spans="1:9" x14ac:dyDescent="0.2">
      <c r="A9" t="s">
        <v>35</v>
      </c>
      <c r="B9">
        <v>16</v>
      </c>
      <c r="C9" s="356">
        <f t="shared" ref="C9:C24" si="1">SUM(16*I9)</f>
        <v>48</v>
      </c>
      <c r="D9">
        <v>8</v>
      </c>
      <c r="E9">
        <v>8</v>
      </c>
      <c r="F9">
        <f t="shared" si="0"/>
        <v>80</v>
      </c>
      <c r="H9" s="26">
        <f>'5-Enrollment Projection'!E15</f>
        <v>372</v>
      </c>
      <c r="I9" s="301">
        <v>3</v>
      </c>
    </row>
    <row r="10" spans="1:9" x14ac:dyDescent="0.2">
      <c r="A10" t="s">
        <v>36</v>
      </c>
      <c r="B10">
        <v>16</v>
      </c>
      <c r="C10" s="356">
        <f t="shared" si="1"/>
        <v>32</v>
      </c>
      <c r="D10">
        <v>8</v>
      </c>
      <c r="F10">
        <f t="shared" si="0"/>
        <v>56</v>
      </c>
      <c r="H10" s="26">
        <f>'5-Enrollment Projection'!E16</f>
        <v>209</v>
      </c>
      <c r="I10" s="301">
        <v>2</v>
      </c>
    </row>
    <row r="11" spans="1:9" x14ac:dyDescent="0.2">
      <c r="A11" t="s">
        <v>37</v>
      </c>
      <c r="B11">
        <v>16</v>
      </c>
      <c r="C11" s="356">
        <f t="shared" si="1"/>
        <v>48</v>
      </c>
      <c r="E11">
        <v>8</v>
      </c>
      <c r="F11">
        <f t="shared" si="0"/>
        <v>72</v>
      </c>
      <c r="H11" s="26">
        <f>'5-Enrollment Projection'!E17</f>
        <v>408</v>
      </c>
      <c r="I11" s="301">
        <v>3</v>
      </c>
    </row>
    <row r="12" spans="1:9" x14ac:dyDescent="0.2">
      <c r="A12" t="s">
        <v>38</v>
      </c>
      <c r="B12">
        <v>16</v>
      </c>
      <c r="C12" s="395">
        <f t="shared" si="1"/>
        <v>48</v>
      </c>
      <c r="E12">
        <v>8</v>
      </c>
      <c r="F12">
        <f t="shared" si="0"/>
        <v>72</v>
      </c>
      <c r="H12" s="26">
        <f>'5-Enrollment Projection'!E18</f>
        <v>440</v>
      </c>
      <c r="I12" s="301">
        <v>3</v>
      </c>
    </row>
    <row r="13" spans="1:9" x14ac:dyDescent="0.2">
      <c r="A13" t="s">
        <v>32</v>
      </c>
      <c r="B13">
        <v>16</v>
      </c>
      <c r="C13" s="356">
        <f t="shared" si="1"/>
        <v>16</v>
      </c>
      <c r="D13">
        <v>8</v>
      </c>
      <c r="F13">
        <f t="shared" si="0"/>
        <v>40</v>
      </c>
      <c r="H13" s="26">
        <f>'5-Enrollment Projection'!E9</f>
        <v>25</v>
      </c>
      <c r="I13" s="301">
        <v>1</v>
      </c>
    </row>
    <row r="14" spans="1:9" x14ac:dyDescent="0.2">
      <c r="A14" t="s">
        <v>39</v>
      </c>
      <c r="B14">
        <v>16</v>
      </c>
      <c r="C14" s="356">
        <f t="shared" si="1"/>
        <v>32</v>
      </c>
      <c r="F14">
        <f t="shared" si="0"/>
        <v>48</v>
      </c>
      <c r="H14" s="26">
        <f>'5-Enrollment Projection'!E19</f>
        <v>259</v>
      </c>
      <c r="I14" s="301">
        <v>2</v>
      </c>
    </row>
    <row r="15" spans="1:9" x14ac:dyDescent="0.2">
      <c r="A15" t="s">
        <v>40</v>
      </c>
      <c r="B15">
        <v>16</v>
      </c>
      <c r="C15" s="356">
        <f t="shared" si="1"/>
        <v>32</v>
      </c>
      <c r="E15">
        <v>8</v>
      </c>
      <c r="F15">
        <f t="shared" si="0"/>
        <v>56</v>
      </c>
      <c r="H15" s="26">
        <f>'5-Enrollment Projection'!E20</f>
        <v>333</v>
      </c>
      <c r="I15" s="301">
        <v>2</v>
      </c>
    </row>
    <row r="16" spans="1:9" x14ac:dyDescent="0.2">
      <c r="A16" s="357" t="s">
        <v>667</v>
      </c>
      <c r="B16">
        <v>16</v>
      </c>
      <c r="C16" s="356">
        <f t="shared" si="1"/>
        <v>48</v>
      </c>
      <c r="E16">
        <v>8</v>
      </c>
      <c r="F16">
        <f>SUM(B16:E16)</f>
        <v>72</v>
      </c>
      <c r="H16" s="26">
        <f>'5-Enrollment Projection'!E21</f>
        <v>350</v>
      </c>
      <c r="I16" s="301">
        <v>3</v>
      </c>
    </row>
    <row r="17" spans="1:11" x14ac:dyDescent="0.2">
      <c r="A17" t="s">
        <v>41</v>
      </c>
      <c r="B17">
        <v>16</v>
      </c>
      <c r="C17" s="356">
        <f t="shared" si="1"/>
        <v>32</v>
      </c>
      <c r="E17">
        <v>8</v>
      </c>
      <c r="F17">
        <f t="shared" si="0"/>
        <v>56</v>
      </c>
      <c r="H17" s="26">
        <f>'5-Enrollment Projection'!E22</f>
        <v>410</v>
      </c>
      <c r="I17" s="301">
        <v>2</v>
      </c>
    </row>
    <row r="18" spans="1:11" x14ac:dyDescent="0.2">
      <c r="A18" t="s">
        <v>42</v>
      </c>
      <c r="B18">
        <v>16</v>
      </c>
      <c r="C18" s="356">
        <f t="shared" si="1"/>
        <v>16</v>
      </c>
      <c r="D18">
        <v>8</v>
      </c>
      <c r="F18">
        <f t="shared" si="0"/>
        <v>40</v>
      </c>
      <c r="H18" s="282">
        <f>'5-Enrollment Projection'!E23</f>
        <v>309</v>
      </c>
      <c r="I18" s="303">
        <v>1</v>
      </c>
    </row>
    <row r="19" spans="1:11" x14ac:dyDescent="0.2">
      <c r="A19" t="s">
        <v>33</v>
      </c>
      <c r="B19">
        <v>16</v>
      </c>
      <c r="C19" s="356">
        <f t="shared" si="1"/>
        <v>16</v>
      </c>
      <c r="D19">
        <v>8</v>
      </c>
      <c r="F19">
        <f t="shared" si="0"/>
        <v>40</v>
      </c>
      <c r="H19" s="26">
        <f>'5-Enrollment Projection'!E10</f>
        <v>16</v>
      </c>
      <c r="I19" s="303">
        <v>1</v>
      </c>
    </row>
    <row r="20" spans="1:11" x14ac:dyDescent="0.2">
      <c r="A20" t="s">
        <v>43</v>
      </c>
      <c r="B20">
        <v>16</v>
      </c>
      <c r="C20" s="395">
        <f t="shared" si="1"/>
        <v>32</v>
      </c>
      <c r="D20">
        <v>8</v>
      </c>
      <c r="E20">
        <v>8</v>
      </c>
      <c r="F20">
        <f t="shared" si="0"/>
        <v>64</v>
      </c>
      <c r="H20" s="26">
        <f>'5-Enrollment Projection'!E24</f>
        <v>280</v>
      </c>
      <c r="I20" s="303">
        <v>2</v>
      </c>
    </row>
    <row r="21" spans="1:11" s="395" customFormat="1" x14ac:dyDescent="0.2">
      <c r="A21" s="387" t="s">
        <v>818</v>
      </c>
      <c r="B21" s="395">
        <v>16</v>
      </c>
      <c r="C21" s="395">
        <f t="shared" si="1"/>
        <v>48</v>
      </c>
      <c r="F21" s="395">
        <f t="shared" si="0"/>
        <v>64</v>
      </c>
      <c r="H21" s="26">
        <f>'6-Schools'!B26</f>
        <v>406</v>
      </c>
      <c r="I21" s="303">
        <v>3</v>
      </c>
    </row>
    <row r="22" spans="1:11" x14ac:dyDescent="0.2">
      <c r="A22" t="s">
        <v>44</v>
      </c>
      <c r="B22">
        <v>16</v>
      </c>
      <c r="C22" s="395">
        <f t="shared" si="1"/>
        <v>48</v>
      </c>
      <c r="E22">
        <v>8</v>
      </c>
      <c r="F22">
        <f t="shared" si="0"/>
        <v>72</v>
      </c>
      <c r="H22" s="26">
        <f>'5-Enrollment Projection'!E26</f>
        <v>348</v>
      </c>
      <c r="I22" s="301">
        <v>3</v>
      </c>
    </row>
    <row r="23" spans="1:11" s="356" customFormat="1" x14ac:dyDescent="0.2">
      <c r="A23" s="387" t="s">
        <v>728</v>
      </c>
      <c r="B23" s="356">
        <v>16</v>
      </c>
      <c r="C23" s="356">
        <f t="shared" si="1"/>
        <v>16</v>
      </c>
      <c r="F23" s="356">
        <f t="shared" si="0"/>
        <v>32</v>
      </c>
      <c r="H23" s="495" t="s">
        <v>729</v>
      </c>
      <c r="I23" s="301">
        <v>1</v>
      </c>
    </row>
    <row r="24" spans="1:11" x14ac:dyDescent="0.2">
      <c r="A24" t="s">
        <v>45</v>
      </c>
      <c r="B24" s="50">
        <v>16</v>
      </c>
      <c r="C24" s="395">
        <f t="shared" si="1"/>
        <v>32</v>
      </c>
      <c r="D24" s="50"/>
      <c r="E24" s="50">
        <v>8</v>
      </c>
      <c r="F24" s="50">
        <f t="shared" si="0"/>
        <v>56</v>
      </c>
      <c r="H24" s="172">
        <f>'5-Enrollment Projection'!E27</f>
        <v>314</v>
      </c>
      <c r="I24" s="302">
        <v>2</v>
      </c>
      <c r="K24" s="171"/>
    </row>
    <row r="25" spans="1:11" x14ac:dyDescent="0.2">
      <c r="H25" s="26"/>
      <c r="I25" s="171"/>
    </row>
    <row r="26" spans="1:11" x14ac:dyDescent="0.2">
      <c r="A26" s="5" t="s">
        <v>389</v>
      </c>
      <c r="B26" s="5">
        <f>SUM(B7:B24)</f>
        <v>288</v>
      </c>
      <c r="C26" s="5">
        <f>SUM(C7:C24)</f>
        <v>608</v>
      </c>
      <c r="D26" s="5">
        <f>SUM(D7:D24)</f>
        <v>56</v>
      </c>
      <c r="E26" s="5">
        <f>SUM(E7:E24)</f>
        <v>80</v>
      </c>
      <c r="F26" s="5">
        <f>SUM(F7:F24)</f>
        <v>1032</v>
      </c>
      <c r="G26" s="175"/>
      <c r="H26" s="173">
        <f>SUM(H7:H24)</f>
        <v>4932</v>
      </c>
      <c r="I26" s="174">
        <f>SUM(I7:I24)</f>
        <v>38</v>
      </c>
    </row>
    <row r="27" spans="1:11" x14ac:dyDescent="0.2">
      <c r="B27" s="121"/>
      <c r="C27" s="121"/>
      <c r="D27" s="121"/>
      <c r="E27" s="48"/>
      <c r="H27"/>
    </row>
    <row r="28" spans="1:11" ht="15.75" x14ac:dyDescent="0.25">
      <c r="A28" s="222" t="s">
        <v>392</v>
      </c>
      <c r="B28" s="163"/>
      <c r="C28" s="163"/>
      <c r="D28" s="155" t="s">
        <v>67</v>
      </c>
      <c r="E28" s="52"/>
      <c r="H28"/>
    </row>
    <row r="29" spans="1:11" x14ac:dyDescent="0.2">
      <c r="A29" s="51" t="s">
        <v>393</v>
      </c>
      <c r="B29" s="218"/>
      <c r="C29" s="218"/>
      <c r="D29" s="161" t="s">
        <v>431</v>
      </c>
      <c r="E29" s="52"/>
      <c r="H29"/>
    </row>
    <row r="30" spans="1:11" x14ac:dyDescent="0.2">
      <c r="A30" t="s">
        <v>47</v>
      </c>
      <c r="B30" s="219"/>
      <c r="C30" s="220"/>
      <c r="D30" s="828">
        <v>107</v>
      </c>
      <c r="E30" s="48"/>
      <c r="H30"/>
    </row>
    <row r="31" spans="1:11" x14ac:dyDescent="0.2">
      <c r="A31" t="s">
        <v>48</v>
      </c>
      <c r="B31" s="219"/>
      <c r="C31" s="220"/>
      <c r="D31" s="828">
        <v>101</v>
      </c>
      <c r="H31"/>
    </row>
    <row r="32" spans="1:11" x14ac:dyDescent="0.2">
      <c r="A32" s="16" t="s">
        <v>49</v>
      </c>
      <c r="B32" s="16"/>
      <c r="C32" s="16"/>
      <c r="D32" s="829">
        <f>SUM(D30:D31)</f>
        <v>208</v>
      </c>
      <c r="H32"/>
    </row>
    <row r="33" spans="1:9" x14ac:dyDescent="0.2">
      <c r="B33" s="219"/>
      <c r="C33" s="186"/>
      <c r="D33" s="830"/>
      <c r="H33"/>
    </row>
    <row r="34" spans="1:9" x14ac:dyDescent="0.2">
      <c r="A34" t="s">
        <v>50</v>
      </c>
      <c r="B34" s="219"/>
      <c r="C34" s="186"/>
      <c r="D34" s="273">
        <v>150</v>
      </c>
      <c r="H34"/>
    </row>
    <row r="35" spans="1:9" x14ac:dyDescent="0.2">
      <c r="A35" t="s">
        <v>51</v>
      </c>
      <c r="B35" s="219"/>
      <c r="C35" s="220"/>
      <c r="D35" s="828">
        <v>273</v>
      </c>
      <c r="H35"/>
    </row>
    <row r="36" spans="1:9" x14ac:dyDescent="0.2">
      <c r="A36" t="s">
        <v>871</v>
      </c>
      <c r="B36" s="221"/>
      <c r="C36" s="220"/>
      <c r="D36" s="828">
        <v>276</v>
      </c>
      <c r="H36"/>
    </row>
    <row r="37" spans="1:9" x14ac:dyDescent="0.2">
      <c r="A37" t="s">
        <v>52</v>
      </c>
      <c r="B37" s="219"/>
      <c r="C37" s="220"/>
      <c r="D37" s="273">
        <v>63</v>
      </c>
      <c r="H37"/>
    </row>
    <row r="38" spans="1:9" x14ac:dyDescent="0.2">
      <c r="A38" s="16" t="s">
        <v>53</v>
      </c>
      <c r="B38" s="16"/>
      <c r="C38" s="16"/>
      <c r="D38" s="829">
        <f>SUM(D34:D37)</f>
        <v>762</v>
      </c>
      <c r="H38"/>
    </row>
    <row r="39" spans="1:9" x14ac:dyDescent="0.2">
      <c r="B39" s="219"/>
      <c r="C39" s="220"/>
      <c r="D39" s="347"/>
      <c r="H39"/>
    </row>
    <row r="40" spans="1:9" x14ac:dyDescent="0.2">
      <c r="A40" s="16" t="s">
        <v>390</v>
      </c>
      <c r="B40" s="16"/>
      <c r="C40" s="16"/>
      <c r="D40" s="829">
        <f>D32+D38</f>
        <v>970</v>
      </c>
      <c r="H40"/>
    </row>
    <row r="41" spans="1:9" x14ac:dyDescent="0.2">
      <c r="H41" s="26"/>
      <c r="I41" s="171"/>
    </row>
    <row r="42" spans="1:9" x14ac:dyDescent="0.2">
      <c r="A42" s="162" t="s">
        <v>354</v>
      </c>
      <c r="B42" s="40"/>
      <c r="C42" s="40"/>
      <c r="D42" s="40"/>
      <c r="E42" s="41"/>
      <c r="H42"/>
    </row>
    <row r="43" spans="1:9" x14ac:dyDescent="0.2">
      <c r="A43" s="357" t="s">
        <v>679</v>
      </c>
      <c r="B43" s="40"/>
      <c r="C43" s="40"/>
      <c r="D43" s="40"/>
      <c r="E43" s="41"/>
      <c r="H43"/>
    </row>
    <row r="44" spans="1:9" x14ac:dyDescent="0.2">
      <c r="A44" s="162" t="s">
        <v>355</v>
      </c>
      <c r="B44" s="40"/>
      <c r="C44" s="40"/>
      <c r="D44" s="40"/>
      <c r="E44" s="41"/>
      <c r="H44"/>
    </row>
    <row r="45" spans="1:9" x14ac:dyDescent="0.2">
      <c r="A45" t="s">
        <v>901</v>
      </c>
      <c r="B45" s="40"/>
      <c r="C45" s="40"/>
      <c r="D45" s="40"/>
      <c r="E45" s="41"/>
      <c r="H45"/>
    </row>
    <row r="46" spans="1:9" x14ac:dyDescent="0.2">
      <c r="A46" s="162" t="s">
        <v>356</v>
      </c>
      <c r="B46" s="40"/>
      <c r="C46" s="40"/>
      <c r="D46" s="40"/>
      <c r="E46" s="41"/>
      <c r="H46"/>
    </row>
    <row r="47" spans="1:9" x14ac:dyDescent="0.2">
      <c r="A47" s="132" t="s">
        <v>350</v>
      </c>
      <c r="B47" s="40"/>
      <c r="C47" s="40"/>
      <c r="D47" s="40"/>
      <c r="E47" s="41"/>
      <c r="H47"/>
    </row>
    <row r="48" spans="1:9" x14ac:dyDescent="0.2">
      <c r="A48" s="132" t="s">
        <v>351</v>
      </c>
      <c r="B48" s="40"/>
      <c r="C48" s="40"/>
      <c r="D48" s="40"/>
      <c r="E48" s="41"/>
      <c r="H48"/>
    </row>
    <row r="49" spans="1:8" x14ac:dyDescent="0.2">
      <c r="A49" s="132" t="s">
        <v>349</v>
      </c>
      <c r="B49" s="40"/>
      <c r="C49" s="40"/>
      <c r="D49" s="40"/>
      <c r="E49" s="41"/>
      <c r="H49"/>
    </row>
    <row r="50" spans="1:8" x14ac:dyDescent="0.2">
      <c r="A50" s="132" t="s">
        <v>388</v>
      </c>
      <c r="B50" s="40"/>
      <c r="C50" s="40"/>
      <c r="D50" s="40"/>
      <c r="E50" s="41"/>
      <c r="H50"/>
    </row>
    <row r="51" spans="1:8" x14ac:dyDescent="0.2">
      <c r="A51" s="132" t="s">
        <v>352</v>
      </c>
      <c r="B51" s="40"/>
      <c r="C51" s="40"/>
      <c r="D51" s="40"/>
      <c r="E51" s="41"/>
      <c r="H51"/>
    </row>
    <row r="52" spans="1:8" x14ac:dyDescent="0.2">
      <c r="A52" s="132" t="s">
        <v>353</v>
      </c>
      <c r="B52" s="40"/>
      <c r="C52" s="40"/>
      <c r="D52" s="40"/>
      <c r="E52" s="41"/>
      <c r="H52"/>
    </row>
    <row r="53" spans="1:8" s="395" customFormat="1" x14ac:dyDescent="0.2">
      <c r="A53" s="132"/>
      <c r="B53" s="40"/>
      <c r="C53" s="40"/>
      <c r="D53" s="40"/>
      <c r="E53" s="41"/>
    </row>
    <row r="54" spans="1:8" s="357" customFormat="1" x14ac:dyDescent="0.2">
      <c r="A54" s="357" t="s">
        <v>799</v>
      </c>
      <c r="H54" s="359"/>
    </row>
  </sheetData>
  <mergeCells count="1">
    <mergeCell ref="B4:F4"/>
  </mergeCells>
  <phoneticPr fontId="22" type="noConversion"/>
  <printOptions horizontalCentered="1"/>
  <pageMargins left="0.75" right="0.75" top="0.34" bottom="0.47" header="0.23" footer="0.23"/>
  <pageSetup scale="96" firstPageNumber="25" orientation="portrait" useFirstPageNumber="1" r:id="rId1"/>
  <headerFooter alignWithMargins="0">
    <oddFooter>&amp;L&amp;6&amp;Z&amp;F &amp;C&amp;6Page &amp;P&amp;R&amp;6&amp;D   &amp;T</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50"/>
  <sheetViews>
    <sheetView zoomScale="115" zoomScaleNormal="115" workbookViewId="0">
      <selection sqref="A1:I1"/>
    </sheetView>
  </sheetViews>
  <sheetFormatPr defaultRowHeight="12.75" x14ac:dyDescent="0.2"/>
  <cols>
    <col min="1" max="1" width="13.85546875" customWidth="1"/>
    <col min="2" max="2" width="9.85546875" style="20" bestFit="1" customWidth="1"/>
    <col min="3" max="8" width="9.28515625" style="20" bestFit="1" customWidth="1"/>
    <col min="9" max="9" width="9.7109375" style="425" bestFit="1" customWidth="1"/>
  </cols>
  <sheetData>
    <row r="1" spans="1:9" ht="18" x14ac:dyDescent="0.25">
      <c r="A1" s="878" t="s">
        <v>1247</v>
      </c>
      <c r="B1" s="878"/>
      <c r="C1" s="878"/>
      <c r="D1" s="878"/>
      <c r="E1" s="878"/>
      <c r="F1" s="878"/>
      <c r="G1" s="878"/>
      <c r="H1" s="878"/>
      <c r="I1" s="878"/>
    </row>
    <row r="2" spans="1:9" x14ac:dyDescent="0.2">
      <c r="A2" s="882" t="s">
        <v>605</v>
      </c>
      <c r="B2" s="882"/>
      <c r="C2" s="882"/>
      <c r="D2" s="882"/>
      <c r="E2" s="882"/>
      <c r="F2" s="882"/>
      <c r="G2" s="882"/>
      <c r="H2" s="882"/>
      <c r="I2" s="882"/>
    </row>
    <row r="3" spans="1:9" x14ac:dyDescent="0.2">
      <c r="A3" s="530"/>
      <c r="B3" s="178"/>
      <c r="C3" s="178"/>
      <c r="D3" s="178"/>
      <c r="E3" s="178"/>
      <c r="F3" s="178"/>
      <c r="G3" s="224"/>
      <c r="H3" s="178"/>
      <c r="I3" s="674"/>
    </row>
    <row r="4" spans="1:9" x14ac:dyDescent="0.2">
      <c r="A4" s="233" t="s">
        <v>411</v>
      </c>
      <c r="B4" s="234"/>
      <c r="C4" s="234"/>
      <c r="D4" s="234"/>
      <c r="E4" s="234"/>
      <c r="F4" s="234"/>
      <c r="G4" s="234"/>
      <c r="H4" s="234"/>
      <c r="I4" s="675"/>
    </row>
    <row r="5" spans="1:9" x14ac:dyDescent="0.2">
      <c r="A5" s="2"/>
    </row>
    <row r="6" spans="1:9" x14ac:dyDescent="0.2">
      <c r="A6" s="128" t="s">
        <v>9</v>
      </c>
      <c r="B6" s="124" t="s">
        <v>332</v>
      </c>
      <c r="C6" s="124">
        <v>2110</v>
      </c>
      <c r="D6" s="124">
        <v>2132</v>
      </c>
      <c r="E6" s="124">
        <v>2173</v>
      </c>
      <c r="F6" s="124">
        <v>2240</v>
      </c>
      <c r="G6" s="124">
        <v>3321</v>
      </c>
      <c r="H6" s="299" t="s">
        <v>562</v>
      </c>
      <c r="I6" s="676" t="s">
        <v>26</v>
      </c>
    </row>
    <row r="7" spans="1:9" x14ac:dyDescent="0.2">
      <c r="A7" s="95"/>
    </row>
    <row r="8" spans="1:9" x14ac:dyDescent="0.2">
      <c r="A8" s="95"/>
    </row>
    <row r="9" spans="1:9" x14ac:dyDescent="0.2">
      <c r="A9" s="397" t="s">
        <v>30</v>
      </c>
      <c r="B9" s="490">
        <v>1900</v>
      </c>
      <c r="C9" s="490"/>
      <c r="D9" s="490"/>
      <c r="E9" s="490"/>
      <c r="F9" s="490"/>
      <c r="G9" s="490"/>
      <c r="H9" s="490"/>
      <c r="I9" s="677">
        <f>SUM(B9:H9)</f>
        <v>1900</v>
      </c>
    </row>
    <row r="10" spans="1:9" x14ac:dyDescent="0.2">
      <c r="A10" s="397" t="s">
        <v>32</v>
      </c>
      <c r="B10" s="490">
        <v>1900</v>
      </c>
      <c r="C10" s="490"/>
      <c r="D10" s="490"/>
      <c r="E10" s="490"/>
      <c r="F10" s="490"/>
      <c r="G10" s="490"/>
      <c r="H10" s="490"/>
      <c r="I10" s="677">
        <f>SUM(B10:H10)</f>
        <v>1900</v>
      </c>
    </row>
    <row r="11" spans="1:9" x14ac:dyDescent="0.2">
      <c r="A11" s="397" t="s">
        <v>33</v>
      </c>
      <c r="B11" s="490">
        <v>1900</v>
      </c>
      <c r="C11" s="490"/>
      <c r="D11" s="490"/>
      <c r="E11" s="490"/>
      <c r="F11" s="490"/>
      <c r="G11" s="490"/>
      <c r="H11" s="490"/>
      <c r="I11" s="677">
        <f>SUM(B11:H11)</f>
        <v>1900</v>
      </c>
    </row>
    <row r="12" spans="1:9" x14ac:dyDescent="0.2">
      <c r="A12" s="5" t="s">
        <v>34</v>
      </c>
      <c r="B12" s="125">
        <f>SUM(B9:B11)</f>
        <v>5700</v>
      </c>
      <c r="C12" s="125">
        <f t="shared" ref="C12:H12" si="0">SUM(C9:C11)</f>
        <v>0</v>
      </c>
      <c r="D12" s="125">
        <f t="shared" si="0"/>
        <v>0</v>
      </c>
      <c r="E12" s="125">
        <f t="shared" si="0"/>
        <v>0</v>
      </c>
      <c r="F12" s="125">
        <f t="shared" si="0"/>
        <v>0</v>
      </c>
      <c r="G12" s="125">
        <f t="shared" si="0"/>
        <v>0</v>
      </c>
      <c r="H12" s="125">
        <f t="shared" si="0"/>
        <v>0</v>
      </c>
      <c r="I12" s="677">
        <f>SUM(B12:H12)</f>
        <v>5700</v>
      </c>
    </row>
    <row r="13" spans="1:9" x14ac:dyDescent="0.2">
      <c r="I13" s="677"/>
    </row>
    <row r="14" spans="1:9" s="356" customFormat="1" x14ac:dyDescent="0.2">
      <c r="A14" s="356" t="s">
        <v>693</v>
      </c>
      <c r="B14" s="20"/>
      <c r="C14" s="20"/>
      <c r="D14" s="20"/>
      <c r="E14" s="20"/>
      <c r="F14" s="20"/>
      <c r="G14" s="20"/>
      <c r="H14" s="20"/>
      <c r="I14" s="677">
        <f t="shared" ref="I14:I38" si="1">SUM(B14:H14)</f>
        <v>0</v>
      </c>
    </row>
    <row r="15" spans="1:9" x14ac:dyDescent="0.2">
      <c r="A15" s="397" t="s">
        <v>35</v>
      </c>
      <c r="B15" s="490"/>
      <c r="C15" s="490"/>
      <c r="D15" s="490"/>
      <c r="E15" s="490"/>
      <c r="F15" s="490"/>
      <c r="G15" s="490"/>
      <c r="H15" s="490"/>
      <c r="I15" s="677">
        <f t="shared" si="1"/>
        <v>0</v>
      </c>
    </row>
    <row r="16" spans="1:9" x14ac:dyDescent="0.2">
      <c r="A16" s="397" t="s">
        <v>36</v>
      </c>
      <c r="B16" s="490">
        <v>170</v>
      </c>
      <c r="C16" s="490"/>
      <c r="D16" s="490"/>
      <c r="E16" s="490"/>
      <c r="F16" s="490"/>
      <c r="G16" s="490"/>
      <c r="H16" s="490"/>
      <c r="I16" s="677">
        <f t="shared" si="1"/>
        <v>170</v>
      </c>
    </row>
    <row r="17" spans="1:9" x14ac:dyDescent="0.2">
      <c r="A17" s="397" t="s">
        <v>37</v>
      </c>
      <c r="I17" s="677">
        <f t="shared" si="1"/>
        <v>0</v>
      </c>
    </row>
    <row r="18" spans="1:9" x14ac:dyDescent="0.2">
      <c r="A18" s="397" t="s">
        <v>38</v>
      </c>
      <c r="I18" s="677">
        <f t="shared" si="1"/>
        <v>0</v>
      </c>
    </row>
    <row r="19" spans="1:9" x14ac:dyDescent="0.2">
      <c r="A19" s="397" t="s">
        <v>39</v>
      </c>
      <c r="I19" s="677">
        <f t="shared" si="1"/>
        <v>0</v>
      </c>
    </row>
    <row r="20" spans="1:9" x14ac:dyDescent="0.2">
      <c r="A20" s="397" t="s">
        <v>40</v>
      </c>
      <c r="C20" s="20">
        <v>275</v>
      </c>
      <c r="I20" s="678">
        <f t="shared" si="1"/>
        <v>275</v>
      </c>
    </row>
    <row r="21" spans="1:9" x14ac:dyDescent="0.2">
      <c r="A21" s="397" t="s">
        <v>667</v>
      </c>
      <c r="I21" s="677">
        <f>SUM(B21:H21)</f>
        <v>0</v>
      </c>
    </row>
    <row r="22" spans="1:9" x14ac:dyDescent="0.2">
      <c r="A22" s="397" t="s">
        <v>41</v>
      </c>
      <c r="I22" s="678">
        <f t="shared" si="1"/>
        <v>0</v>
      </c>
    </row>
    <row r="23" spans="1:9" x14ac:dyDescent="0.2">
      <c r="A23" s="397" t="s">
        <v>42</v>
      </c>
      <c r="B23" s="490"/>
      <c r="C23" s="490"/>
      <c r="D23" s="490"/>
      <c r="E23" s="490"/>
      <c r="F23" s="490"/>
      <c r="G23" s="490"/>
      <c r="H23" s="490"/>
      <c r="I23" s="678">
        <f t="shared" si="1"/>
        <v>0</v>
      </c>
    </row>
    <row r="24" spans="1:9" x14ac:dyDescent="0.2">
      <c r="A24" s="397" t="s">
        <v>43</v>
      </c>
      <c r="B24" s="490"/>
      <c r="C24" s="490"/>
      <c r="D24" s="490"/>
      <c r="E24" s="490"/>
      <c r="F24" s="490"/>
      <c r="G24" s="490"/>
      <c r="H24" s="490"/>
      <c r="I24" s="678">
        <f t="shared" si="1"/>
        <v>0</v>
      </c>
    </row>
    <row r="25" spans="1:9" s="395" customFormat="1" x14ac:dyDescent="0.2">
      <c r="A25" s="526" t="s">
        <v>818</v>
      </c>
      <c r="B25" s="490"/>
      <c r="C25" s="490"/>
      <c r="D25" s="490"/>
      <c r="E25" s="490"/>
      <c r="F25" s="490"/>
      <c r="G25" s="490"/>
      <c r="H25" s="490"/>
      <c r="I25" s="678">
        <f t="shared" si="1"/>
        <v>0</v>
      </c>
    </row>
    <row r="26" spans="1:9" x14ac:dyDescent="0.2">
      <c r="A26" s="397" t="s">
        <v>44</v>
      </c>
      <c r="I26" s="677">
        <f t="shared" si="1"/>
        <v>0</v>
      </c>
    </row>
    <row r="27" spans="1:9" x14ac:dyDescent="0.2">
      <c r="A27" t="s">
        <v>45</v>
      </c>
      <c r="I27" s="677">
        <f t="shared" si="1"/>
        <v>0</v>
      </c>
    </row>
    <row r="28" spans="1:9" x14ac:dyDescent="0.2">
      <c r="A28" s="5" t="s">
        <v>46</v>
      </c>
      <c r="B28" s="125">
        <f t="shared" ref="B28:H28" si="2">SUM(B15:B27)</f>
        <v>170</v>
      </c>
      <c r="C28" s="125">
        <f t="shared" si="2"/>
        <v>275</v>
      </c>
      <c r="D28" s="125">
        <f t="shared" si="2"/>
        <v>0</v>
      </c>
      <c r="E28" s="125">
        <f t="shared" si="2"/>
        <v>0</v>
      </c>
      <c r="F28" s="125">
        <f t="shared" si="2"/>
        <v>0</v>
      </c>
      <c r="G28" s="125">
        <f t="shared" si="2"/>
        <v>0</v>
      </c>
      <c r="H28" s="125">
        <f t="shared" si="2"/>
        <v>0</v>
      </c>
      <c r="I28" s="677">
        <f t="shared" si="1"/>
        <v>445</v>
      </c>
    </row>
    <row r="29" spans="1:9" x14ac:dyDescent="0.2">
      <c r="I29" s="677"/>
    </row>
    <row r="30" spans="1:9" x14ac:dyDescent="0.2">
      <c r="A30" t="s">
        <v>47</v>
      </c>
      <c r="I30" s="677">
        <f t="shared" si="1"/>
        <v>0</v>
      </c>
    </row>
    <row r="31" spans="1:9" x14ac:dyDescent="0.2">
      <c r="A31" t="s">
        <v>48</v>
      </c>
      <c r="B31" s="490"/>
      <c r="I31" s="677">
        <f t="shared" si="1"/>
        <v>0</v>
      </c>
    </row>
    <row r="32" spans="1:9" x14ac:dyDescent="0.2">
      <c r="A32" s="5" t="s">
        <v>49</v>
      </c>
      <c r="B32" s="125">
        <f>SUM(B30:B31)</f>
        <v>0</v>
      </c>
      <c r="C32" s="125">
        <f t="shared" ref="C32:H32" si="3">SUM(C30:C31)</f>
        <v>0</v>
      </c>
      <c r="D32" s="125">
        <f t="shared" si="3"/>
        <v>0</v>
      </c>
      <c r="E32" s="125">
        <f t="shared" si="3"/>
        <v>0</v>
      </c>
      <c r="F32" s="125">
        <f t="shared" si="3"/>
        <v>0</v>
      </c>
      <c r="G32" s="125">
        <f t="shared" si="3"/>
        <v>0</v>
      </c>
      <c r="H32" s="125">
        <f t="shared" si="3"/>
        <v>0</v>
      </c>
      <c r="I32" s="677">
        <f t="shared" si="1"/>
        <v>0</v>
      </c>
    </row>
    <row r="33" spans="1:9" x14ac:dyDescent="0.2">
      <c r="I33" s="677"/>
    </row>
    <row r="34" spans="1:9" x14ac:dyDescent="0.2">
      <c r="A34" t="s">
        <v>50</v>
      </c>
      <c r="I34" s="677">
        <f t="shared" si="1"/>
        <v>0</v>
      </c>
    </row>
    <row r="35" spans="1:9" x14ac:dyDescent="0.2">
      <c r="A35" t="s">
        <v>51</v>
      </c>
      <c r="B35" s="490"/>
      <c r="E35" s="20">
        <v>154</v>
      </c>
      <c r="I35" s="677">
        <f t="shared" si="1"/>
        <v>154</v>
      </c>
    </row>
    <row r="36" spans="1:9" x14ac:dyDescent="0.2">
      <c r="A36" s="395" t="s">
        <v>871</v>
      </c>
      <c r="I36" s="677">
        <f t="shared" si="1"/>
        <v>0</v>
      </c>
    </row>
    <row r="37" spans="1:9" x14ac:dyDescent="0.2">
      <c r="A37" t="s">
        <v>52</v>
      </c>
      <c r="B37" s="20">
        <v>170</v>
      </c>
      <c r="I37" s="677">
        <f t="shared" si="1"/>
        <v>170</v>
      </c>
    </row>
    <row r="38" spans="1:9" x14ac:dyDescent="0.2">
      <c r="A38" s="5" t="s">
        <v>53</v>
      </c>
      <c r="B38" s="125">
        <f>SUM(B34:B37)</f>
        <v>170</v>
      </c>
      <c r="C38" s="125">
        <f t="shared" ref="C38:H38" si="4">SUM(C34:C37)</f>
        <v>0</v>
      </c>
      <c r="D38" s="125">
        <f t="shared" si="4"/>
        <v>0</v>
      </c>
      <c r="E38" s="125">
        <f t="shared" si="4"/>
        <v>154</v>
      </c>
      <c r="F38" s="125">
        <f t="shared" si="4"/>
        <v>0</v>
      </c>
      <c r="G38" s="125">
        <f t="shared" si="4"/>
        <v>0</v>
      </c>
      <c r="H38" s="125">
        <f t="shared" si="4"/>
        <v>0</v>
      </c>
      <c r="I38" s="677">
        <f t="shared" si="1"/>
        <v>324</v>
      </c>
    </row>
    <row r="39" spans="1:9" x14ac:dyDescent="0.2">
      <c r="I39" s="623"/>
    </row>
    <row r="40" spans="1:9" x14ac:dyDescent="0.2">
      <c r="A40" s="127" t="s">
        <v>333</v>
      </c>
      <c r="B40" s="126">
        <f t="shared" ref="B40:I40" si="5">SUM(B12+B28+B32+B38)</f>
        <v>6040</v>
      </c>
      <c r="C40" s="126">
        <f t="shared" si="5"/>
        <v>275</v>
      </c>
      <c r="D40" s="126">
        <f t="shared" si="5"/>
        <v>0</v>
      </c>
      <c r="E40" s="126">
        <f t="shared" si="5"/>
        <v>154</v>
      </c>
      <c r="F40" s="126">
        <f t="shared" si="5"/>
        <v>0</v>
      </c>
      <c r="G40" s="126">
        <f t="shared" si="5"/>
        <v>0</v>
      </c>
      <c r="H40" s="126">
        <f t="shared" si="5"/>
        <v>0</v>
      </c>
      <c r="I40" s="673">
        <f t="shared" si="5"/>
        <v>6469</v>
      </c>
    </row>
    <row r="44" spans="1:9" x14ac:dyDescent="0.2">
      <c r="A44" s="387"/>
    </row>
    <row r="45" spans="1:9" x14ac:dyDescent="0.2">
      <c r="A45" s="527"/>
    </row>
    <row r="46" spans="1:9" x14ac:dyDescent="0.2">
      <c r="A46" s="387"/>
    </row>
    <row r="47" spans="1:9" x14ac:dyDescent="0.2">
      <c r="A47" s="387"/>
    </row>
    <row r="48" spans="1:9" x14ac:dyDescent="0.2">
      <c r="A48" s="387"/>
    </row>
    <row r="49" spans="1:1" x14ac:dyDescent="0.2">
      <c r="A49" s="387"/>
    </row>
    <row r="50" spans="1:1" x14ac:dyDescent="0.2">
      <c r="A50" s="527"/>
    </row>
  </sheetData>
  <mergeCells count="2">
    <mergeCell ref="A1:I1"/>
    <mergeCell ref="A2:I2"/>
  </mergeCells>
  <phoneticPr fontId="22" type="noConversion"/>
  <printOptions horizontalCentered="1"/>
  <pageMargins left="0.25" right="0.25" top="0.7" bottom="0.46" header="0.5" footer="0.24"/>
  <pageSetup firstPageNumber="15" orientation="portrait" useFirstPageNumber="1" r:id="rId1"/>
  <headerFooter alignWithMargins="0">
    <oddFooter>&amp;L&amp;6&amp;Z&amp;F   &amp;A&amp;C&amp;6                                                                                              Page &amp;P&amp;R&amp;6&amp;D   &amp;T</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G73"/>
  <sheetViews>
    <sheetView zoomScale="115" zoomScaleNormal="115" workbookViewId="0">
      <selection activeCell="G63" sqref="G63"/>
    </sheetView>
  </sheetViews>
  <sheetFormatPr defaultRowHeight="12.75" x14ac:dyDescent="0.2"/>
  <cols>
    <col min="1" max="1" width="31.28515625" customWidth="1"/>
    <col min="2" max="2" width="28.42578125" bestFit="1" customWidth="1"/>
    <col min="3" max="3" width="12.85546875" style="1" customWidth="1"/>
    <col min="4" max="4" width="13.28515625" style="1" customWidth="1"/>
    <col min="5" max="5" width="13" style="1" customWidth="1"/>
    <col min="6" max="6" width="20.42578125" customWidth="1"/>
    <col min="7" max="7" width="10.28515625" bestFit="1" customWidth="1"/>
  </cols>
  <sheetData>
    <row r="1" spans="1:7" ht="18" x14ac:dyDescent="0.25">
      <c r="A1" s="878" t="s">
        <v>1275</v>
      </c>
      <c r="B1" s="878"/>
      <c r="C1" s="878"/>
      <c r="D1" s="878"/>
      <c r="E1" s="878"/>
    </row>
    <row r="2" spans="1:7" s="395" customFormat="1" ht="15.75" x14ac:dyDescent="0.25">
      <c r="A2" s="525"/>
      <c r="B2" s="524"/>
      <c r="C2" s="524"/>
      <c r="D2" s="524"/>
      <c r="E2" s="524"/>
    </row>
    <row r="3" spans="1:7" s="248" customFormat="1" ht="11.25" x14ac:dyDescent="0.2">
      <c r="A3" s="229" t="s">
        <v>407</v>
      </c>
      <c r="B3" s="229"/>
      <c r="C3" s="229"/>
      <c r="D3" s="229"/>
      <c r="E3" s="229"/>
    </row>
    <row r="4" spans="1:7" s="248" customFormat="1" ht="11.25" x14ac:dyDescent="0.2">
      <c r="A4" s="230" t="s">
        <v>408</v>
      </c>
      <c r="B4" s="230"/>
      <c r="C4" s="230"/>
      <c r="D4" s="230"/>
      <c r="E4" s="230"/>
    </row>
    <row r="5" spans="1:7" s="162" customFormat="1" x14ac:dyDescent="0.2">
      <c r="A5" s="143"/>
      <c r="B5" s="143"/>
      <c r="C5" s="244" t="s">
        <v>63</v>
      </c>
      <c r="D5" s="244" t="s">
        <v>64</v>
      </c>
      <c r="E5" s="244"/>
    </row>
    <row r="6" spans="1:7" s="162" customFormat="1" x14ac:dyDescent="0.2">
      <c r="A6" s="245" t="s">
        <v>9</v>
      </c>
      <c r="B6" s="245" t="s">
        <v>293</v>
      </c>
      <c r="C6" s="246" t="s">
        <v>65</v>
      </c>
      <c r="D6" s="246" t="s">
        <v>66</v>
      </c>
      <c r="E6" s="246" t="s">
        <v>26</v>
      </c>
    </row>
    <row r="7" spans="1:7" s="162" customFormat="1" x14ac:dyDescent="0.2">
      <c r="A7" s="245"/>
      <c r="B7" s="245"/>
      <c r="C7" s="246" t="s">
        <v>67</v>
      </c>
      <c r="D7" s="246" t="s">
        <v>67</v>
      </c>
      <c r="E7" s="246" t="s">
        <v>67</v>
      </c>
    </row>
    <row r="8" spans="1:7" s="162" customFormat="1" x14ac:dyDescent="0.2">
      <c r="A8" s="141"/>
      <c r="B8" s="141"/>
      <c r="C8" s="247" t="s">
        <v>565</v>
      </c>
      <c r="D8" s="247" t="s">
        <v>566</v>
      </c>
      <c r="E8" s="247"/>
    </row>
    <row r="9" spans="1:7" x14ac:dyDescent="0.2">
      <c r="A9" t="s">
        <v>30</v>
      </c>
      <c r="B9" s="387" t="s">
        <v>1159</v>
      </c>
      <c r="C9" s="512">
        <v>1600</v>
      </c>
      <c r="D9" s="512"/>
      <c r="E9" s="512">
        <f>SUM(C9:D9)</f>
        <v>1600</v>
      </c>
      <c r="G9" s="414"/>
    </row>
    <row r="10" spans="1:7" x14ac:dyDescent="0.2">
      <c r="A10" t="s">
        <v>32</v>
      </c>
      <c r="B10" s="387" t="s">
        <v>1160</v>
      </c>
      <c r="C10" s="512">
        <v>1240</v>
      </c>
      <c r="D10" s="512"/>
      <c r="E10" s="512">
        <f>SUM(C10:D10)</f>
        <v>1240</v>
      </c>
      <c r="G10" s="414"/>
    </row>
    <row r="11" spans="1:7" x14ac:dyDescent="0.2">
      <c r="A11" t="s">
        <v>33</v>
      </c>
      <c r="B11" s="387" t="s">
        <v>1161</v>
      </c>
      <c r="C11" s="512">
        <v>1100</v>
      </c>
      <c r="D11" s="512"/>
      <c r="E11" s="512">
        <f>SUM(C11:D11)</f>
        <v>1100</v>
      </c>
      <c r="G11" s="414"/>
    </row>
    <row r="12" spans="1:7" x14ac:dyDescent="0.2">
      <c r="A12" s="5" t="s">
        <v>34</v>
      </c>
      <c r="B12" s="5"/>
      <c r="C12" s="606">
        <f>SUM(C9:C11)</f>
        <v>3940</v>
      </c>
      <c r="D12" s="606">
        <f>SUM(D9:D11)</f>
        <v>0</v>
      </c>
      <c r="E12" s="606">
        <f>SUM(E9:E11)</f>
        <v>3940</v>
      </c>
      <c r="G12" s="414"/>
    </row>
    <row r="13" spans="1:7" x14ac:dyDescent="0.2">
      <c r="C13" s="512"/>
      <c r="D13" s="512"/>
      <c r="E13" s="512"/>
      <c r="G13" s="414"/>
    </row>
    <row r="14" spans="1:7" s="356" customFormat="1" ht="14.25" customHeight="1" x14ac:dyDescent="0.2">
      <c r="A14" s="356" t="s">
        <v>693</v>
      </c>
      <c r="B14" s="356" t="s">
        <v>694</v>
      </c>
      <c r="C14" s="512">
        <v>2690</v>
      </c>
      <c r="D14" s="512"/>
      <c r="E14" s="512">
        <f t="shared" ref="E14:E28" si="0">SUM(C14:D14)</f>
        <v>2690</v>
      </c>
      <c r="G14" s="414"/>
    </row>
    <row r="15" spans="1:7" x14ac:dyDescent="0.2">
      <c r="A15" t="s">
        <v>35</v>
      </c>
      <c r="B15" s="93" t="s">
        <v>567</v>
      </c>
      <c r="C15" s="512">
        <v>3200</v>
      </c>
      <c r="D15" s="512"/>
      <c r="E15" s="512">
        <f t="shared" si="0"/>
        <v>3200</v>
      </c>
      <c r="G15" s="414"/>
    </row>
    <row r="16" spans="1:7" x14ac:dyDescent="0.2">
      <c r="A16" t="s">
        <v>36</v>
      </c>
      <c r="B16" s="93" t="s">
        <v>568</v>
      </c>
      <c r="C16" s="512">
        <v>2245</v>
      </c>
      <c r="D16" s="512"/>
      <c r="E16" s="512">
        <f t="shared" si="0"/>
        <v>2245</v>
      </c>
      <c r="G16" s="414"/>
    </row>
    <row r="17" spans="1:7" x14ac:dyDescent="0.2">
      <c r="A17" t="s">
        <v>37</v>
      </c>
      <c r="B17" s="93" t="s">
        <v>569</v>
      </c>
      <c r="C17" s="512">
        <v>2690</v>
      </c>
      <c r="D17" s="512"/>
      <c r="E17" s="512">
        <f t="shared" si="0"/>
        <v>2690</v>
      </c>
      <c r="G17" s="414"/>
    </row>
    <row r="18" spans="1:7" x14ac:dyDescent="0.2">
      <c r="A18" t="s">
        <v>38</v>
      </c>
      <c r="B18" s="93" t="s">
        <v>570</v>
      </c>
      <c r="C18" s="512">
        <v>2090</v>
      </c>
      <c r="D18" s="512"/>
      <c r="E18" s="512">
        <f t="shared" si="0"/>
        <v>2090</v>
      </c>
      <c r="G18" s="414"/>
    </row>
    <row r="19" spans="1:7" x14ac:dyDescent="0.2">
      <c r="A19" t="s">
        <v>39</v>
      </c>
      <c r="B19" s="93" t="s">
        <v>571</v>
      </c>
      <c r="C19" s="512">
        <v>2885</v>
      </c>
      <c r="D19" s="512"/>
      <c r="E19" s="512">
        <f t="shared" si="0"/>
        <v>2885</v>
      </c>
      <c r="G19" s="414"/>
    </row>
    <row r="20" spans="1:7" x14ac:dyDescent="0.2">
      <c r="A20" t="s">
        <v>40</v>
      </c>
      <c r="B20" s="93" t="s">
        <v>572</v>
      </c>
      <c r="C20" s="512">
        <v>2645</v>
      </c>
      <c r="D20" s="512"/>
      <c r="E20" s="512">
        <f t="shared" si="0"/>
        <v>2645</v>
      </c>
      <c r="G20" s="414"/>
    </row>
    <row r="21" spans="1:7" x14ac:dyDescent="0.2">
      <c r="A21" t="s">
        <v>667</v>
      </c>
      <c r="B21" s="93" t="s">
        <v>576</v>
      </c>
      <c r="C21" s="512">
        <v>2520</v>
      </c>
      <c r="D21" s="512"/>
      <c r="E21" s="512">
        <f t="shared" si="0"/>
        <v>2520</v>
      </c>
      <c r="G21" s="414"/>
    </row>
    <row r="22" spans="1:7" x14ac:dyDescent="0.2">
      <c r="A22" t="s">
        <v>41</v>
      </c>
      <c r="B22" s="93" t="s">
        <v>573</v>
      </c>
      <c r="C22" s="512">
        <v>3710</v>
      </c>
      <c r="D22" s="512"/>
      <c r="E22" s="512">
        <f t="shared" si="0"/>
        <v>3710</v>
      </c>
      <c r="G22" s="414"/>
    </row>
    <row r="23" spans="1:7" x14ac:dyDescent="0.2">
      <c r="A23" t="s">
        <v>42</v>
      </c>
      <c r="B23" s="93" t="s">
        <v>574</v>
      </c>
      <c r="C23" s="512">
        <v>1670</v>
      </c>
      <c r="D23" s="512"/>
      <c r="E23" s="512">
        <f t="shared" si="0"/>
        <v>1670</v>
      </c>
      <c r="G23" s="414"/>
    </row>
    <row r="24" spans="1:7" x14ac:dyDescent="0.2">
      <c r="A24" t="s">
        <v>43</v>
      </c>
      <c r="B24" s="93" t="s">
        <v>575</v>
      </c>
      <c r="C24" s="512">
        <v>2605</v>
      </c>
      <c r="D24" s="512"/>
      <c r="E24" s="512">
        <f t="shared" si="0"/>
        <v>2605</v>
      </c>
      <c r="G24" s="414"/>
    </row>
    <row r="25" spans="1:7" s="395" customFormat="1" x14ac:dyDescent="0.2">
      <c r="A25" s="387" t="s">
        <v>818</v>
      </c>
      <c r="B25" s="387" t="s">
        <v>819</v>
      </c>
      <c r="C25" s="512">
        <v>3710</v>
      </c>
      <c r="D25" s="512"/>
      <c r="E25" s="512">
        <f t="shared" si="0"/>
        <v>3710</v>
      </c>
      <c r="G25" s="414"/>
    </row>
    <row r="26" spans="1:7" x14ac:dyDescent="0.2">
      <c r="A26" t="s">
        <v>44</v>
      </c>
      <c r="B26" s="93" t="s">
        <v>577</v>
      </c>
      <c r="C26" s="512">
        <v>3105</v>
      </c>
      <c r="D26" s="512"/>
      <c r="E26" s="512">
        <f t="shared" si="0"/>
        <v>3105</v>
      </c>
      <c r="G26" s="414"/>
    </row>
    <row r="27" spans="1:7" x14ac:dyDescent="0.2">
      <c r="A27" t="s">
        <v>728</v>
      </c>
      <c r="B27" s="268" t="s">
        <v>578</v>
      </c>
      <c r="C27" s="512">
        <v>1080</v>
      </c>
      <c r="D27" s="512"/>
      <c r="E27" s="512">
        <f t="shared" si="0"/>
        <v>1080</v>
      </c>
      <c r="G27" s="414"/>
    </row>
    <row r="28" spans="1:7" x14ac:dyDescent="0.2">
      <c r="A28" t="s">
        <v>45</v>
      </c>
      <c r="B28" s="93" t="s">
        <v>579</v>
      </c>
      <c r="C28" s="512">
        <v>2940</v>
      </c>
      <c r="D28" s="512"/>
      <c r="E28" s="512">
        <f t="shared" si="0"/>
        <v>2940</v>
      </c>
      <c r="G28" s="414"/>
    </row>
    <row r="29" spans="1:7" x14ac:dyDescent="0.2">
      <c r="A29" s="5" t="s">
        <v>46</v>
      </c>
      <c r="B29" s="5"/>
      <c r="C29" s="606">
        <f>SUM(C14:C28)</f>
        <v>39785</v>
      </c>
      <c r="D29" s="606">
        <f>SUM(D14:D28)</f>
        <v>0</v>
      </c>
      <c r="E29" s="606">
        <f>SUM(E14:E28)</f>
        <v>39785</v>
      </c>
      <c r="G29" s="414"/>
    </row>
    <row r="30" spans="1:7" x14ac:dyDescent="0.2">
      <c r="C30" s="512"/>
      <c r="D30" s="512"/>
      <c r="E30" s="512"/>
      <c r="G30" s="414"/>
    </row>
    <row r="31" spans="1:7" x14ac:dyDescent="0.2">
      <c r="A31" t="s">
        <v>47</v>
      </c>
      <c r="B31" s="387" t="s">
        <v>832</v>
      </c>
      <c r="C31" s="512">
        <v>7800</v>
      </c>
      <c r="D31" s="512"/>
      <c r="E31" s="512">
        <f>SUM(C31:D31)</f>
        <v>7800</v>
      </c>
      <c r="G31" s="414"/>
    </row>
    <row r="32" spans="1:7" x14ac:dyDescent="0.2">
      <c r="A32" s="536" t="s">
        <v>48</v>
      </c>
      <c r="B32" s="535" t="s">
        <v>932</v>
      </c>
      <c r="C32" s="607">
        <v>6660</v>
      </c>
      <c r="D32" s="607"/>
      <c r="E32" s="607">
        <f>SUM(C32:D32)</f>
        <v>6660</v>
      </c>
      <c r="G32" s="414"/>
    </row>
    <row r="33" spans="1:7" x14ac:dyDescent="0.2">
      <c r="A33" s="5" t="s">
        <v>49</v>
      </c>
      <c r="B33" s="5"/>
      <c r="C33" s="606">
        <f>SUM(C31:C32)</f>
        <v>14460</v>
      </c>
      <c r="D33" s="606">
        <f>SUM(D31:D32)</f>
        <v>0</v>
      </c>
      <c r="E33" s="606">
        <f>SUM(E31:E32)</f>
        <v>14460</v>
      </c>
      <c r="G33" s="414"/>
    </row>
    <row r="34" spans="1:7" x14ac:dyDescent="0.2">
      <c r="C34" s="512"/>
      <c r="D34" s="512"/>
      <c r="E34" s="512"/>
      <c r="G34" s="414"/>
    </row>
    <row r="35" spans="1:7" x14ac:dyDescent="0.2">
      <c r="A35" t="s">
        <v>50</v>
      </c>
      <c r="B35" s="93" t="s">
        <v>581</v>
      </c>
      <c r="C35" s="512">
        <v>3010</v>
      </c>
      <c r="D35" s="608"/>
      <c r="E35" s="512">
        <f t="shared" ref="E35:E40" si="1">SUM(C35:D35)</f>
        <v>3010</v>
      </c>
      <c r="G35" s="414"/>
    </row>
    <row r="36" spans="1:7" x14ac:dyDescent="0.2">
      <c r="A36" t="s">
        <v>51</v>
      </c>
      <c r="B36" s="387" t="s">
        <v>830</v>
      </c>
      <c r="C36" s="512">
        <v>13000</v>
      </c>
      <c r="D36" s="512"/>
      <c r="E36" s="512">
        <f t="shared" si="1"/>
        <v>13000</v>
      </c>
      <c r="G36" s="414"/>
    </row>
    <row r="37" spans="1:7" x14ac:dyDescent="0.2">
      <c r="A37" t="s">
        <v>917</v>
      </c>
      <c r="B37" s="387" t="s">
        <v>918</v>
      </c>
      <c r="C37" s="512">
        <v>2392</v>
      </c>
      <c r="D37" s="512">
        <v>480</v>
      </c>
      <c r="E37" s="512">
        <f t="shared" si="1"/>
        <v>2872</v>
      </c>
      <c r="G37" s="414"/>
    </row>
    <row r="38" spans="1:7" x14ac:dyDescent="0.2">
      <c r="A38" s="395" t="s">
        <v>871</v>
      </c>
      <c r="B38" s="93" t="s">
        <v>580</v>
      </c>
      <c r="C38" s="512">
        <v>13000</v>
      </c>
      <c r="D38" s="512"/>
      <c r="E38" s="512">
        <f t="shared" si="1"/>
        <v>13000</v>
      </c>
      <c r="G38" s="414"/>
    </row>
    <row r="39" spans="1:7" s="395" customFormat="1" x14ac:dyDescent="0.2">
      <c r="A39" s="395" t="s">
        <v>919</v>
      </c>
      <c r="B39" s="387" t="s">
        <v>920</v>
      </c>
      <c r="C39" s="512">
        <v>2392</v>
      </c>
      <c r="D39" s="512">
        <v>480</v>
      </c>
      <c r="E39" s="512">
        <f t="shared" si="1"/>
        <v>2872</v>
      </c>
      <c r="G39" s="414"/>
    </row>
    <row r="40" spans="1:7" x14ac:dyDescent="0.2">
      <c r="A40" t="s">
        <v>52</v>
      </c>
      <c r="B40" s="387" t="s">
        <v>831</v>
      </c>
      <c r="C40" s="512">
        <v>4765</v>
      </c>
      <c r="D40" s="512"/>
      <c r="E40" s="512">
        <f t="shared" si="1"/>
        <v>4765</v>
      </c>
      <c r="G40" s="414"/>
    </row>
    <row r="41" spans="1:7" x14ac:dyDescent="0.2">
      <c r="A41" s="5" t="s">
        <v>53</v>
      </c>
      <c r="B41" s="5"/>
      <c r="C41" s="606">
        <f>SUM(C35:C40)</f>
        <v>38559</v>
      </c>
      <c r="D41" s="606">
        <f>SUM(D35:D40)</f>
        <v>960</v>
      </c>
      <c r="E41" s="606">
        <f>SUM(E35:E40)</f>
        <v>39519</v>
      </c>
      <c r="G41" s="414"/>
    </row>
    <row r="42" spans="1:7" x14ac:dyDescent="0.2">
      <c r="C42" s="512"/>
      <c r="D42" s="512"/>
      <c r="E42" s="512"/>
      <c r="G42" s="414"/>
    </row>
    <row r="43" spans="1:7" x14ac:dyDescent="0.2">
      <c r="A43" s="7" t="s">
        <v>68</v>
      </c>
      <c r="B43" s="7"/>
      <c r="C43" s="609">
        <f>SUM(C12+C29+C33+C41)</f>
        <v>96744</v>
      </c>
      <c r="D43" s="609">
        <f>SUM(D12+D29+D33+D41)</f>
        <v>960</v>
      </c>
      <c r="E43" s="609">
        <f>SUM(E12+E29+E33+E41)</f>
        <v>97704</v>
      </c>
      <c r="G43" s="414"/>
    </row>
    <row r="44" spans="1:7" x14ac:dyDescent="0.2">
      <c r="C44" s="512"/>
      <c r="D44" s="512"/>
      <c r="E44" s="512"/>
      <c r="G44" s="414"/>
    </row>
    <row r="45" spans="1:7" x14ac:dyDescent="0.2">
      <c r="A45" s="300" t="s">
        <v>588</v>
      </c>
      <c r="B45" s="300" t="s">
        <v>582</v>
      </c>
      <c r="C45" s="512">
        <v>2320</v>
      </c>
      <c r="D45" s="512"/>
      <c r="E45" s="512">
        <f t="shared" ref="E45:E62" si="2">SUM(C45:D45)</f>
        <v>2320</v>
      </c>
      <c r="G45" s="414"/>
    </row>
    <row r="46" spans="1:7" x14ac:dyDescent="0.2">
      <c r="A46" t="s">
        <v>69</v>
      </c>
      <c r="B46" s="93" t="s">
        <v>584</v>
      </c>
      <c r="C46" s="512">
        <v>1425</v>
      </c>
      <c r="D46" s="610"/>
      <c r="E46" s="512">
        <f t="shared" si="2"/>
        <v>1425</v>
      </c>
      <c r="G46" s="414"/>
    </row>
    <row r="47" spans="1:7" x14ac:dyDescent="0.2">
      <c r="A47" t="s">
        <v>295</v>
      </c>
      <c r="B47" s="268" t="s">
        <v>585</v>
      </c>
      <c r="C47" s="512">
        <v>840</v>
      </c>
      <c r="D47" s="512">
        <f>500-240</f>
        <v>260</v>
      </c>
      <c r="E47" s="512">
        <f t="shared" si="2"/>
        <v>1100</v>
      </c>
      <c r="G47" s="414"/>
    </row>
    <row r="48" spans="1:7" x14ac:dyDescent="0.2">
      <c r="A48" s="395" t="s">
        <v>804</v>
      </c>
      <c r="B48" s="93" t="s">
        <v>583</v>
      </c>
      <c r="C48" s="512">
        <v>405</v>
      </c>
      <c r="D48" s="512">
        <f>(500-200+20+180)*0.9</f>
        <v>450</v>
      </c>
      <c r="E48" s="512">
        <f t="shared" si="2"/>
        <v>855</v>
      </c>
      <c r="G48" s="414"/>
    </row>
    <row r="49" spans="1:7" x14ac:dyDescent="0.2">
      <c r="A49" t="s">
        <v>71</v>
      </c>
      <c r="B49" s="268" t="s">
        <v>589</v>
      </c>
      <c r="C49" s="512">
        <v>15420</v>
      </c>
      <c r="D49" s="512"/>
      <c r="E49" s="512">
        <f t="shared" si="2"/>
        <v>15420</v>
      </c>
      <c r="G49" s="414"/>
    </row>
    <row r="50" spans="1:7" x14ac:dyDescent="0.2">
      <c r="A50" t="s">
        <v>294</v>
      </c>
      <c r="B50" s="93" t="s">
        <v>590</v>
      </c>
      <c r="C50" s="512">
        <v>455</v>
      </c>
      <c r="D50" s="512">
        <f>(450+110)*0.9</f>
        <v>504</v>
      </c>
      <c r="E50" s="512">
        <f t="shared" si="2"/>
        <v>959</v>
      </c>
      <c r="G50" s="414"/>
    </row>
    <row r="51" spans="1:7" x14ac:dyDescent="0.2">
      <c r="A51" s="93" t="s">
        <v>587</v>
      </c>
      <c r="B51" s="268" t="s">
        <v>586</v>
      </c>
      <c r="C51" s="512">
        <v>1800</v>
      </c>
      <c r="D51" s="512"/>
      <c r="E51" s="512">
        <f t="shared" si="2"/>
        <v>1800</v>
      </c>
      <c r="G51" s="414"/>
    </row>
    <row r="52" spans="1:7" x14ac:dyDescent="0.2">
      <c r="A52" s="287" t="s">
        <v>797</v>
      </c>
      <c r="B52" s="268" t="s">
        <v>599</v>
      </c>
      <c r="C52" s="610">
        <v>2900</v>
      </c>
      <c r="D52" s="610">
        <v>624</v>
      </c>
      <c r="E52" s="610">
        <f t="shared" si="2"/>
        <v>3524</v>
      </c>
      <c r="G52" s="414"/>
    </row>
    <row r="53" spans="1:7" x14ac:dyDescent="0.2">
      <c r="A53" s="387" t="s">
        <v>70</v>
      </c>
      <c r="B53" s="268" t="s">
        <v>591</v>
      </c>
      <c r="C53" s="512">
        <v>7299</v>
      </c>
      <c r="D53" s="512">
        <v>504</v>
      </c>
      <c r="E53" s="512">
        <f t="shared" si="2"/>
        <v>7803</v>
      </c>
      <c r="G53" s="414"/>
    </row>
    <row r="54" spans="1:7" x14ac:dyDescent="0.2">
      <c r="A54" s="287" t="s">
        <v>73</v>
      </c>
      <c r="B54" s="268" t="s">
        <v>592</v>
      </c>
      <c r="C54" s="610">
        <v>0</v>
      </c>
      <c r="D54" s="610"/>
      <c r="E54" s="610">
        <f t="shared" si="2"/>
        <v>0</v>
      </c>
      <c r="G54" s="414"/>
    </row>
    <row r="55" spans="1:7" x14ac:dyDescent="0.2">
      <c r="A55" s="131" t="s">
        <v>72</v>
      </c>
      <c r="B55" s="268" t="s">
        <v>526</v>
      </c>
      <c r="C55" s="610">
        <v>3060</v>
      </c>
      <c r="D55" s="512"/>
      <c r="E55" s="512">
        <f t="shared" si="2"/>
        <v>3060</v>
      </c>
      <c r="G55" s="414"/>
    </row>
    <row r="56" spans="1:7" x14ac:dyDescent="0.2">
      <c r="A56" s="395" t="s">
        <v>74</v>
      </c>
      <c r="B56" s="268" t="s">
        <v>593</v>
      </c>
      <c r="C56" s="512">
        <v>5950</v>
      </c>
      <c r="D56" s="512"/>
      <c r="E56" s="512">
        <f t="shared" si="2"/>
        <v>5950</v>
      </c>
      <c r="G56" s="414"/>
    </row>
    <row r="57" spans="1:7" x14ac:dyDescent="0.2">
      <c r="A57" t="s">
        <v>75</v>
      </c>
      <c r="B57" s="268" t="s">
        <v>594</v>
      </c>
      <c r="C57" s="512">
        <v>1125</v>
      </c>
      <c r="D57" s="512">
        <v>1248</v>
      </c>
      <c r="E57" s="512">
        <f t="shared" si="2"/>
        <v>2373</v>
      </c>
      <c r="G57" s="414"/>
    </row>
    <row r="58" spans="1:7" x14ac:dyDescent="0.2">
      <c r="A58" s="387" t="s">
        <v>318</v>
      </c>
      <c r="B58" s="268" t="s">
        <v>735</v>
      </c>
      <c r="C58" s="608">
        <v>450</v>
      </c>
      <c r="D58" s="611"/>
      <c r="E58" s="512">
        <f t="shared" si="2"/>
        <v>450</v>
      </c>
      <c r="G58" s="414"/>
    </row>
    <row r="59" spans="1:7" x14ac:dyDescent="0.2">
      <c r="A59" t="s">
        <v>76</v>
      </c>
      <c r="B59" s="268" t="s">
        <v>595</v>
      </c>
      <c r="C59" s="512">
        <v>700</v>
      </c>
      <c r="D59" s="512">
        <v>780</v>
      </c>
      <c r="E59" s="512">
        <f t="shared" si="2"/>
        <v>1480</v>
      </c>
      <c r="G59" s="414"/>
    </row>
    <row r="60" spans="1:7" x14ac:dyDescent="0.2">
      <c r="A60" t="s">
        <v>77</v>
      </c>
      <c r="B60" s="268" t="s">
        <v>596</v>
      </c>
      <c r="C60" s="512">
        <v>1010</v>
      </c>
      <c r="D60" s="512">
        <v>1125</v>
      </c>
      <c r="E60" s="512">
        <f t="shared" si="2"/>
        <v>2135</v>
      </c>
      <c r="G60" s="414"/>
    </row>
    <row r="61" spans="1:7" x14ac:dyDescent="0.2">
      <c r="A61" t="s">
        <v>930</v>
      </c>
      <c r="B61" s="268" t="s">
        <v>598</v>
      </c>
      <c r="C61" s="512">
        <v>4635</v>
      </c>
      <c r="D61" s="512">
        <f>500+350</f>
        <v>850</v>
      </c>
      <c r="E61" s="512">
        <f t="shared" si="2"/>
        <v>5485</v>
      </c>
      <c r="G61" s="414"/>
    </row>
    <row r="62" spans="1:7" x14ac:dyDescent="0.2">
      <c r="A62" t="s">
        <v>931</v>
      </c>
      <c r="B62" s="268" t="s">
        <v>597</v>
      </c>
      <c r="C62" s="512">
        <v>1306</v>
      </c>
      <c r="D62" s="512"/>
      <c r="E62" s="512">
        <f t="shared" si="2"/>
        <v>1306</v>
      </c>
      <c r="G62" s="414"/>
    </row>
    <row r="63" spans="1:7" x14ac:dyDescent="0.2">
      <c r="A63" s="7" t="s">
        <v>79</v>
      </c>
      <c r="B63" s="7"/>
      <c r="C63" s="609">
        <f>SUM(C45:C62)</f>
        <v>51100</v>
      </c>
      <c r="D63" s="609">
        <f>SUM(D45:D62)</f>
        <v>6345</v>
      </c>
      <c r="E63" s="609">
        <f>SUM(E45:E62)</f>
        <v>57445</v>
      </c>
      <c r="G63" s="414"/>
    </row>
    <row r="64" spans="1:7" x14ac:dyDescent="0.2">
      <c r="C64" s="512"/>
      <c r="D64" s="512"/>
      <c r="E64" s="512"/>
    </row>
    <row r="65" spans="1:5" s="223" customFormat="1" x14ac:dyDescent="0.2">
      <c r="A65" s="14" t="s">
        <v>242</v>
      </c>
      <c r="B65" s="14"/>
      <c r="C65" s="612">
        <f>SUM(C43+C63)</f>
        <v>147844</v>
      </c>
      <c r="D65" s="612">
        <f>SUM(D43+D63)</f>
        <v>7305</v>
      </c>
      <c r="E65" s="612">
        <f>SUM(E43+E63)</f>
        <v>155149</v>
      </c>
    </row>
    <row r="66" spans="1:5" s="223" customFormat="1" ht="12" x14ac:dyDescent="0.2">
      <c r="A66" s="250" t="s">
        <v>104</v>
      </c>
      <c r="C66" s="249"/>
      <c r="D66" s="249"/>
      <c r="E66" s="249"/>
    </row>
    <row r="67" spans="1:5" s="223" customFormat="1" ht="12" x14ac:dyDescent="0.2">
      <c r="A67" s="310" t="s">
        <v>795</v>
      </c>
      <c r="C67" s="249"/>
      <c r="D67" s="249"/>
      <c r="E67" s="249"/>
    </row>
    <row r="68" spans="1:5" s="223" customFormat="1" ht="12" x14ac:dyDescent="0.2">
      <c r="C68" s="249"/>
      <c r="D68" s="249"/>
      <c r="E68" s="249"/>
    </row>
    <row r="69" spans="1:5" x14ac:dyDescent="0.2">
      <c r="A69" s="223"/>
      <c r="B69" s="223"/>
      <c r="C69" s="249"/>
      <c r="D69" s="249"/>
      <c r="E69" s="249"/>
    </row>
    <row r="70" spans="1:5" x14ac:dyDescent="0.2">
      <c r="A70" s="529"/>
    </row>
    <row r="71" spans="1:5" x14ac:dyDescent="0.2">
      <c r="A71" s="310"/>
    </row>
    <row r="72" spans="1:5" x14ac:dyDescent="0.2">
      <c r="A72" s="310"/>
    </row>
    <row r="73" spans="1:5" x14ac:dyDescent="0.2">
      <c r="A73" s="310"/>
    </row>
  </sheetData>
  <sortState ref="A45:E62">
    <sortCondition ref="A45"/>
  </sortState>
  <mergeCells count="1">
    <mergeCell ref="A1:E1"/>
  </mergeCells>
  <phoneticPr fontId="0" type="noConversion"/>
  <printOptions horizontalCentered="1"/>
  <pageMargins left="0.25" right="0.26" top="0.3" bottom="0.39" header="0.24" footer="0.21"/>
  <pageSetup scale="82" firstPageNumber="21" orientation="portrait" useFirstPageNumber="1" r:id="rId1"/>
  <headerFooter alignWithMargins="0">
    <oddFooter>&amp;L&amp;6&amp;Z&amp;F&amp;C&amp;6Page &amp;P&amp;R&amp;6&amp;D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20"/>
  <sheetViews>
    <sheetView zoomScale="145" zoomScaleNormal="145" workbookViewId="0">
      <selection activeCell="O5" sqref="O5:O18"/>
    </sheetView>
  </sheetViews>
  <sheetFormatPr defaultRowHeight="12.75" x14ac:dyDescent="0.2"/>
  <cols>
    <col min="1" max="1" width="14" customWidth="1"/>
    <col min="2" max="15" width="8" customWidth="1"/>
    <col min="16" max="16" width="9.28515625" customWidth="1"/>
    <col min="18" max="18" width="9.140625" style="171"/>
  </cols>
  <sheetData>
    <row r="1" spans="1:18" s="395" customFormat="1" x14ac:dyDescent="0.2">
      <c r="E1" s="875" t="s">
        <v>1232</v>
      </c>
      <c r="F1" s="875"/>
      <c r="G1" s="875"/>
      <c r="H1" s="875"/>
      <c r="I1" s="875"/>
      <c r="J1" s="875"/>
      <c r="K1" s="875"/>
      <c r="R1" s="171"/>
    </row>
    <row r="2" spans="1:18" s="395" customFormat="1" x14ac:dyDescent="0.2">
      <c r="E2" s="875"/>
      <c r="F2" s="875"/>
      <c r="G2" s="875"/>
      <c r="H2" s="875"/>
      <c r="I2" s="875"/>
      <c r="J2" s="875"/>
      <c r="K2" s="875"/>
      <c r="R2" s="171"/>
    </row>
    <row r="3" spans="1:18" s="395" customFormat="1" x14ac:dyDescent="0.2">
      <c r="B3" s="804" t="s">
        <v>1067</v>
      </c>
      <c r="C3" s="791"/>
      <c r="D3" s="793">
        <v>1</v>
      </c>
      <c r="E3" s="793"/>
      <c r="F3" s="795">
        <v>2</v>
      </c>
      <c r="G3" s="795"/>
      <c r="H3" s="797">
        <v>3</v>
      </c>
      <c r="I3" s="797"/>
      <c r="J3" s="799">
        <v>4</v>
      </c>
      <c r="K3" s="799"/>
      <c r="L3" s="801">
        <v>5</v>
      </c>
      <c r="M3" s="801"/>
      <c r="N3" s="803">
        <v>6</v>
      </c>
      <c r="O3" s="803"/>
      <c r="P3" s="517" t="s">
        <v>26</v>
      </c>
      <c r="Q3" s="395" t="s">
        <v>1191</v>
      </c>
      <c r="R3" s="171" t="s">
        <v>1193</v>
      </c>
    </row>
    <row r="4" spans="1:18" x14ac:dyDescent="0.2">
      <c r="A4" t="s">
        <v>1153</v>
      </c>
      <c r="B4" s="790" t="s">
        <v>1154</v>
      </c>
      <c r="C4" s="791" t="s">
        <v>1155</v>
      </c>
      <c r="D4" s="792" t="s">
        <v>1154</v>
      </c>
      <c r="E4" s="793" t="s">
        <v>1155</v>
      </c>
      <c r="F4" s="794" t="s">
        <v>1154</v>
      </c>
      <c r="G4" s="795" t="s">
        <v>1155</v>
      </c>
      <c r="H4" s="796" t="s">
        <v>1154</v>
      </c>
      <c r="I4" s="797" t="s">
        <v>1155</v>
      </c>
      <c r="J4" s="798" t="s">
        <v>1154</v>
      </c>
      <c r="K4" s="799" t="s">
        <v>1155</v>
      </c>
      <c r="L4" s="800" t="s">
        <v>1154</v>
      </c>
      <c r="M4" s="801" t="s">
        <v>1155</v>
      </c>
      <c r="N4" s="802" t="s">
        <v>1154</v>
      </c>
      <c r="O4" s="803" t="s">
        <v>1155</v>
      </c>
      <c r="P4" s="517" t="s">
        <v>1152</v>
      </c>
      <c r="Q4" t="s">
        <v>1192</v>
      </c>
      <c r="R4" s="171" t="s">
        <v>1194</v>
      </c>
    </row>
    <row r="5" spans="1:18" x14ac:dyDescent="0.2">
      <c r="A5" t="s">
        <v>693</v>
      </c>
      <c r="B5" s="791"/>
      <c r="C5" s="791">
        <v>3</v>
      </c>
      <c r="D5" s="793">
        <v>61</v>
      </c>
      <c r="E5" s="793">
        <v>3</v>
      </c>
      <c r="F5" s="795">
        <v>53</v>
      </c>
      <c r="G5" s="795">
        <v>3</v>
      </c>
      <c r="H5" s="797">
        <v>55</v>
      </c>
      <c r="I5" s="797">
        <v>3</v>
      </c>
      <c r="J5" s="799">
        <v>57</v>
      </c>
      <c r="K5" s="799">
        <v>3</v>
      </c>
      <c r="L5" s="801">
        <v>63</v>
      </c>
      <c r="M5" s="801">
        <v>3</v>
      </c>
      <c r="N5" s="803">
        <v>80</v>
      </c>
      <c r="O5" s="803">
        <v>3</v>
      </c>
      <c r="P5" s="517">
        <f>B5+D5+F5+H5+J5+L5+N5</f>
        <v>369</v>
      </c>
      <c r="Q5">
        <f>C5+E5+G5+I5+K5+M5+O5</f>
        <v>21</v>
      </c>
      <c r="R5" s="171">
        <f>P5/Q5</f>
        <v>17.571428571428573</v>
      </c>
    </row>
    <row r="6" spans="1:18" x14ac:dyDescent="0.2">
      <c r="A6" t="s">
        <v>35</v>
      </c>
      <c r="B6" s="791"/>
      <c r="C6" s="791">
        <v>3</v>
      </c>
      <c r="D6" s="793">
        <v>54</v>
      </c>
      <c r="E6" s="793">
        <v>3</v>
      </c>
      <c r="F6" s="795">
        <v>50</v>
      </c>
      <c r="G6" s="795">
        <v>3</v>
      </c>
      <c r="H6" s="797">
        <v>46</v>
      </c>
      <c r="I6" s="797">
        <v>3</v>
      </c>
      <c r="J6" s="799">
        <v>62</v>
      </c>
      <c r="K6" s="799">
        <v>3</v>
      </c>
      <c r="L6" s="801">
        <v>51</v>
      </c>
      <c r="M6" s="801">
        <v>3</v>
      </c>
      <c r="N6" s="803">
        <v>60</v>
      </c>
      <c r="O6" s="803">
        <v>3</v>
      </c>
      <c r="P6" s="517">
        <f t="shared" ref="P6:P18" si="0">B6+D6+F6+H6+J6+L6+N6</f>
        <v>323</v>
      </c>
      <c r="Q6" s="395">
        <f t="shared" ref="Q6:Q18" si="1">C6+E6+G6+I6+K6+M6+O6</f>
        <v>21</v>
      </c>
      <c r="R6" s="171">
        <f t="shared" ref="R6:R20" si="2">P6/Q6</f>
        <v>15.380952380952381</v>
      </c>
    </row>
    <row r="7" spans="1:18" x14ac:dyDescent="0.2">
      <c r="A7" t="s">
        <v>36</v>
      </c>
      <c r="B7" s="791"/>
      <c r="C7" s="791">
        <v>2</v>
      </c>
      <c r="D7" s="793">
        <v>32</v>
      </c>
      <c r="E7" s="793">
        <v>2</v>
      </c>
      <c r="F7" s="795">
        <v>28</v>
      </c>
      <c r="G7" s="795">
        <v>2</v>
      </c>
      <c r="H7" s="797">
        <v>24</v>
      </c>
      <c r="I7" s="797">
        <v>2</v>
      </c>
      <c r="J7" s="799">
        <v>22</v>
      </c>
      <c r="K7" s="799">
        <v>2</v>
      </c>
      <c r="L7" s="801">
        <v>31</v>
      </c>
      <c r="M7" s="801">
        <v>1</v>
      </c>
      <c r="N7" s="803">
        <v>32</v>
      </c>
      <c r="O7" s="803">
        <v>2</v>
      </c>
      <c r="P7" s="517">
        <f t="shared" si="0"/>
        <v>169</v>
      </c>
      <c r="Q7" s="395">
        <f t="shared" si="1"/>
        <v>13</v>
      </c>
      <c r="R7" s="171">
        <f t="shared" si="2"/>
        <v>13</v>
      </c>
    </row>
    <row r="8" spans="1:18" x14ac:dyDescent="0.2">
      <c r="A8" t="s">
        <v>37</v>
      </c>
      <c r="B8" s="791"/>
      <c r="C8" s="791">
        <v>3</v>
      </c>
      <c r="D8" s="793">
        <v>61</v>
      </c>
      <c r="E8" s="793">
        <v>3</v>
      </c>
      <c r="F8" s="795">
        <v>49</v>
      </c>
      <c r="G8" s="795">
        <v>3</v>
      </c>
      <c r="H8" s="797">
        <v>56</v>
      </c>
      <c r="I8" s="797">
        <v>3</v>
      </c>
      <c r="J8" s="799">
        <v>50</v>
      </c>
      <c r="K8" s="799">
        <v>3</v>
      </c>
      <c r="L8" s="801">
        <v>55</v>
      </c>
      <c r="M8" s="801">
        <v>3</v>
      </c>
      <c r="N8" s="803">
        <v>64</v>
      </c>
      <c r="O8" s="803">
        <v>3</v>
      </c>
      <c r="P8" s="517">
        <f t="shared" si="0"/>
        <v>335</v>
      </c>
      <c r="Q8" s="395">
        <f t="shared" si="1"/>
        <v>21</v>
      </c>
      <c r="R8" s="171">
        <f t="shared" si="2"/>
        <v>15.952380952380953</v>
      </c>
    </row>
    <row r="9" spans="1:18" x14ac:dyDescent="0.2">
      <c r="A9" t="s">
        <v>38</v>
      </c>
      <c r="B9" s="791"/>
      <c r="C9" s="791">
        <v>3</v>
      </c>
      <c r="D9" s="793">
        <v>53</v>
      </c>
      <c r="E9" s="793">
        <v>3</v>
      </c>
      <c r="F9" s="795">
        <v>51</v>
      </c>
      <c r="G9" s="795">
        <v>3</v>
      </c>
      <c r="H9" s="797">
        <v>61</v>
      </c>
      <c r="I9" s="797">
        <v>3</v>
      </c>
      <c r="J9" s="799">
        <v>68</v>
      </c>
      <c r="K9" s="799">
        <v>3</v>
      </c>
      <c r="L9" s="801">
        <v>73</v>
      </c>
      <c r="M9" s="801">
        <v>3</v>
      </c>
      <c r="N9" s="803">
        <v>71</v>
      </c>
      <c r="O9" s="803">
        <v>3</v>
      </c>
      <c r="P9" s="517">
        <f t="shared" si="0"/>
        <v>377</v>
      </c>
      <c r="Q9" s="395">
        <f t="shared" si="1"/>
        <v>21</v>
      </c>
      <c r="R9" s="171">
        <f t="shared" si="2"/>
        <v>17.952380952380953</v>
      </c>
    </row>
    <row r="10" spans="1:18" x14ac:dyDescent="0.2">
      <c r="A10" t="s">
        <v>39</v>
      </c>
      <c r="B10" s="791"/>
      <c r="C10" s="791">
        <v>2</v>
      </c>
      <c r="D10" s="793">
        <v>35</v>
      </c>
      <c r="E10" s="793">
        <v>2</v>
      </c>
      <c r="F10" s="795">
        <v>39</v>
      </c>
      <c r="G10" s="795">
        <v>2</v>
      </c>
      <c r="H10" s="797">
        <v>40</v>
      </c>
      <c r="I10" s="797">
        <v>2</v>
      </c>
      <c r="J10" s="799">
        <v>42</v>
      </c>
      <c r="K10" s="799">
        <v>2</v>
      </c>
      <c r="L10" s="801">
        <v>47</v>
      </c>
      <c r="M10" s="801">
        <v>2</v>
      </c>
      <c r="N10" s="803">
        <v>43</v>
      </c>
      <c r="O10" s="803">
        <v>2</v>
      </c>
      <c r="P10" s="517">
        <f t="shared" si="0"/>
        <v>246</v>
      </c>
      <c r="Q10" s="395">
        <f t="shared" si="1"/>
        <v>14</v>
      </c>
      <c r="R10" s="171">
        <f t="shared" si="2"/>
        <v>17.571428571428573</v>
      </c>
    </row>
    <row r="11" spans="1:18" x14ac:dyDescent="0.2">
      <c r="A11" t="s">
        <v>40</v>
      </c>
      <c r="B11" s="791"/>
      <c r="C11" s="791">
        <v>2</v>
      </c>
      <c r="D11" s="793">
        <v>34</v>
      </c>
      <c r="E11" s="793">
        <v>2</v>
      </c>
      <c r="F11" s="795">
        <v>43</v>
      </c>
      <c r="G11" s="795">
        <v>2</v>
      </c>
      <c r="H11" s="797">
        <v>44</v>
      </c>
      <c r="I11" s="797">
        <v>2</v>
      </c>
      <c r="J11" s="799">
        <v>66</v>
      </c>
      <c r="K11" s="799">
        <v>2</v>
      </c>
      <c r="L11" s="801">
        <v>63</v>
      </c>
      <c r="M11" s="801">
        <v>3</v>
      </c>
      <c r="N11" s="803">
        <v>47</v>
      </c>
      <c r="O11" s="803">
        <v>3</v>
      </c>
      <c r="P11" s="517">
        <f t="shared" si="0"/>
        <v>297</v>
      </c>
      <c r="Q11" s="395">
        <f t="shared" si="1"/>
        <v>16</v>
      </c>
      <c r="R11" s="171">
        <f t="shared" si="2"/>
        <v>18.5625</v>
      </c>
    </row>
    <row r="12" spans="1:18" x14ac:dyDescent="0.2">
      <c r="A12" t="s">
        <v>667</v>
      </c>
      <c r="B12" s="791"/>
      <c r="C12" s="791">
        <v>2</v>
      </c>
      <c r="D12" s="793">
        <v>36</v>
      </c>
      <c r="E12" s="793">
        <v>2</v>
      </c>
      <c r="F12" s="795">
        <v>51</v>
      </c>
      <c r="G12" s="795">
        <v>2</v>
      </c>
      <c r="H12" s="797">
        <v>48</v>
      </c>
      <c r="I12" s="797">
        <v>3</v>
      </c>
      <c r="J12" s="799">
        <v>47</v>
      </c>
      <c r="K12" s="799">
        <v>3</v>
      </c>
      <c r="L12" s="801">
        <v>58</v>
      </c>
      <c r="M12" s="801">
        <v>2</v>
      </c>
      <c r="N12" s="803">
        <v>67</v>
      </c>
      <c r="O12" s="803">
        <v>3</v>
      </c>
      <c r="P12" s="517">
        <f t="shared" si="0"/>
        <v>307</v>
      </c>
      <c r="Q12" s="395">
        <f t="shared" si="1"/>
        <v>17</v>
      </c>
      <c r="R12" s="171">
        <f t="shared" si="2"/>
        <v>18.058823529411764</v>
      </c>
    </row>
    <row r="13" spans="1:18" x14ac:dyDescent="0.2">
      <c r="A13" t="s">
        <v>41</v>
      </c>
      <c r="B13" s="791"/>
      <c r="C13" s="791">
        <v>3</v>
      </c>
      <c r="D13" s="793">
        <v>43</v>
      </c>
      <c r="E13" s="793">
        <v>2</v>
      </c>
      <c r="F13" s="795">
        <v>62</v>
      </c>
      <c r="G13" s="795">
        <v>2</v>
      </c>
      <c r="H13" s="797">
        <v>45</v>
      </c>
      <c r="I13" s="797">
        <v>3</v>
      </c>
      <c r="J13" s="799">
        <v>65</v>
      </c>
      <c r="K13" s="799">
        <v>2</v>
      </c>
      <c r="L13" s="801">
        <v>75</v>
      </c>
      <c r="M13" s="801">
        <v>3</v>
      </c>
      <c r="N13" s="803">
        <v>67</v>
      </c>
      <c r="O13" s="803">
        <v>3</v>
      </c>
      <c r="P13" s="517">
        <f t="shared" si="0"/>
        <v>357</v>
      </c>
      <c r="Q13" s="395">
        <f t="shared" si="1"/>
        <v>18</v>
      </c>
      <c r="R13" s="171">
        <f t="shared" si="2"/>
        <v>19.833333333333332</v>
      </c>
    </row>
    <row r="14" spans="1:18" x14ac:dyDescent="0.2">
      <c r="A14" t="s">
        <v>42</v>
      </c>
      <c r="B14" s="791"/>
      <c r="C14" s="791">
        <v>3</v>
      </c>
      <c r="D14" s="793">
        <v>35</v>
      </c>
      <c r="E14" s="793">
        <v>3</v>
      </c>
      <c r="F14" s="795">
        <v>39</v>
      </c>
      <c r="G14" s="795">
        <v>2</v>
      </c>
      <c r="H14" s="797">
        <v>25</v>
      </c>
      <c r="I14" s="797">
        <v>3</v>
      </c>
      <c r="J14" s="799">
        <v>36</v>
      </c>
      <c r="K14" s="799">
        <v>1</v>
      </c>
      <c r="L14" s="801">
        <v>31</v>
      </c>
      <c r="M14" s="801">
        <v>2</v>
      </c>
      <c r="N14" s="803">
        <v>43</v>
      </c>
      <c r="O14" s="803">
        <v>2</v>
      </c>
      <c r="P14" s="517">
        <f t="shared" si="0"/>
        <v>209</v>
      </c>
      <c r="Q14" s="395">
        <f t="shared" si="1"/>
        <v>16</v>
      </c>
      <c r="R14" s="171">
        <f t="shared" si="2"/>
        <v>13.0625</v>
      </c>
    </row>
    <row r="15" spans="1:18" x14ac:dyDescent="0.2">
      <c r="A15" t="s">
        <v>43</v>
      </c>
      <c r="B15" s="791"/>
      <c r="C15" s="791">
        <v>2</v>
      </c>
      <c r="D15" s="793">
        <v>27</v>
      </c>
      <c r="E15" s="793">
        <v>2</v>
      </c>
      <c r="F15" s="795">
        <v>55</v>
      </c>
      <c r="G15" s="795">
        <v>2</v>
      </c>
      <c r="H15" s="797">
        <v>36</v>
      </c>
      <c r="I15" s="797">
        <v>3</v>
      </c>
      <c r="J15" s="799">
        <v>44</v>
      </c>
      <c r="K15" s="799">
        <v>2</v>
      </c>
      <c r="L15" s="801">
        <v>44</v>
      </c>
      <c r="M15" s="801">
        <v>2</v>
      </c>
      <c r="N15" s="803">
        <v>41</v>
      </c>
      <c r="O15" s="803">
        <v>2</v>
      </c>
      <c r="P15" s="517">
        <f t="shared" si="0"/>
        <v>247</v>
      </c>
      <c r="Q15" s="395">
        <f t="shared" si="1"/>
        <v>15</v>
      </c>
      <c r="R15" s="171">
        <f t="shared" si="2"/>
        <v>16.466666666666665</v>
      </c>
    </row>
    <row r="16" spans="1:18" x14ac:dyDescent="0.2">
      <c r="A16" t="s">
        <v>818</v>
      </c>
      <c r="B16" s="791"/>
      <c r="C16" s="791">
        <v>3</v>
      </c>
      <c r="D16" s="793">
        <v>60</v>
      </c>
      <c r="E16" s="793">
        <v>3</v>
      </c>
      <c r="F16" s="795">
        <v>61</v>
      </c>
      <c r="G16" s="795">
        <v>3</v>
      </c>
      <c r="H16" s="797">
        <v>62</v>
      </c>
      <c r="I16" s="797">
        <v>3</v>
      </c>
      <c r="J16" s="799">
        <v>55</v>
      </c>
      <c r="K16" s="799">
        <v>3</v>
      </c>
      <c r="L16" s="801">
        <v>22</v>
      </c>
      <c r="M16" s="801">
        <v>3</v>
      </c>
      <c r="N16" s="803">
        <v>23</v>
      </c>
      <c r="O16" s="803">
        <v>1</v>
      </c>
      <c r="P16" s="517">
        <f t="shared" si="0"/>
        <v>283</v>
      </c>
      <c r="Q16" s="395">
        <f t="shared" si="1"/>
        <v>19</v>
      </c>
      <c r="R16" s="171">
        <f t="shared" si="2"/>
        <v>14.894736842105264</v>
      </c>
    </row>
    <row r="17" spans="1:18" x14ac:dyDescent="0.2">
      <c r="A17" t="s">
        <v>44</v>
      </c>
      <c r="B17" s="791"/>
      <c r="C17" s="791">
        <v>3</v>
      </c>
      <c r="D17" s="793">
        <v>54</v>
      </c>
      <c r="E17" s="793">
        <v>3</v>
      </c>
      <c r="F17" s="795">
        <v>46</v>
      </c>
      <c r="G17" s="795">
        <v>3</v>
      </c>
      <c r="H17" s="797">
        <v>44</v>
      </c>
      <c r="I17" s="797">
        <v>2</v>
      </c>
      <c r="J17" s="799">
        <v>44</v>
      </c>
      <c r="K17" s="799">
        <v>2</v>
      </c>
      <c r="L17" s="801">
        <v>51</v>
      </c>
      <c r="M17" s="801">
        <v>2</v>
      </c>
      <c r="N17" s="803">
        <v>50</v>
      </c>
      <c r="O17" s="803">
        <v>2</v>
      </c>
      <c r="P17" s="517">
        <f t="shared" si="0"/>
        <v>289</v>
      </c>
      <c r="Q17" s="395">
        <f t="shared" si="1"/>
        <v>17</v>
      </c>
      <c r="R17" s="171">
        <f t="shared" si="2"/>
        <v>17</v>
      </c>
    </row>
    <row r="18" spans="1:18" x14ac:dyDescent="0.2">
      <c r="A18" t="s">
        <v>45</v>
      </c>
      <c r="B18" s="791"/>
      <c r="C18" s="791">
        <v>2</v>
      </c>
      <c r="D18" s="793">
        <v>45</v>
      </c>
      <c r="E18" s="793">
        <v>2</v>
      </c>
      <c r="F18" s="795">
        <v>47</v>
      </c>
      <c r="G18" s="795">
        <v>3</v>
      </c>
      <c r="H18" s="797">
        <v>39</v>
      </c>
      <c r="I18" s="797">
        <v>2</v>
      </c>
      <c r="J18" s="799">
        <v>32</v>
      </c>
      <c r="K18" s="799">
        <v>2</v>
      </c>
      <c r="L18" s="801">
        <v>55</v>
      </c>
      <c r="M18" s="801">
        <v>2</v>
      </c>
      <c r="N18" s="803">
        <v>47</v>
      </c>
      <c r="O18" s="803">
        <v>3</v>
      </c>
      <c r="P18" s="517">
        <f t="shared" si="0"/>
        <v>265</v>
      </c>
      <c r="Q18" s="395">
        <f t="shared" si="1"/>
        <v>16</v>
      </c>
      <c r="R18" s="171">
        <f t="shared" si="2"/>
        <v>16.5625</v>
      </c>
    </row>
    <row r="20" spans="1:18" x14ac:dyDescent="0.2">
      <c r="A20" t="s">
        <v>26</v>
      </c>
      <c r="B20" s="791">
        <f>SUM(B5:B18)</f>
        <v>0</v>
      </c>
      <c r="C20" s="791"/>
      <c r="D20" s="793">
        <f>SUM(D5:D18)</f>
        <v>630</v>
      </c>
      <c r="E20" s="793"/>
      <c r="F20" s="795">
        <f>SUM(F5:F18)</f>
        <v>674</v>
      </c>
      <c r="G20" s="795"/>
      <c r="H20" s="797">
        <f>SUM(H5:H18)</f>
        <v>625</v>
      </c>
      <c r="I20" s="797"/>
      <c r="J20" s="799">
        <f>SUM(J5:J18)</f>
        <v>690</v>
      </c>
      <c r="K20" s="799"/>
      <c r="L20" s="801">
        <f>SUM(L5:L18)</f>
        <v>719</v>
      </c>
      <c r="M20" s="801"/>
      <c r="N20" s="803">
        <f>SUM(N5:N18)</f>
        <v>735</v>
      </c>
      <c r="O20" s="803"/>
      <c r="P20" s="517">
        <f>SUM(P5:P18)</f>
        <v>4073</v>
      </c>
      <c r="Q20" s="517">
        <f>SUM(Q5:Q18)</f>
        <v>245</v>
      </c>
      <c r="R20" s="171">
        <f t="shared" si="2"/>
        <v>16.624489795918368</v>
      </c>
    </row>
  </sheetData>
  <mergeCells count="1">
    <mergeCell ref="E1:K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9"/>
  <sheetViews>
    <sheetView zoomScale="115" zoomScaleNormal="115" workbookViewId="0">
      <selection sqref="A1:F1"/>
    </sheetView>
  </sheetViews>
  <sheetFormatPr defaultRowHeight="12.75" x14ac:dyDescent="0.2"/>
  <cols>
    <col min="1" max="1" width="17.140625" customWidth="1"/>
    <col min="2" max="2" width="15.140625" style="20" customWidth="1"/>
    <col min="3" max="3" width="13.7109375" style="40" customWidth="1"/>
    <col min="4" max="4" width="12.140625" style="40" customWidth="1"/>
    <col min="6" max="6" width="10.7109375" bestFit="1" customWidth="1"/>
    <col min="7" max="7" width="12.28515625" bestFit="1" customWidth="1"/>
    <col min="9" max="9" width="10.7109375" bestFit="1" customWidth="1"/>
  </cols>
  <sheetData>
    <row r="1" spans="1:9" ht="18" x14ac:dyDescent="0.25">
      <c r="A1" s="907" t="s">
        <v>1248</v>
      </c>
      <c r="B1" s="907"/>
      <c r="C1" s="907"/>
      <c r="D1" s="907"/>
      <c r="E1" s="907"/>
      <c r="F1" s="907"/>
    </row>
    <row r="2" spans="1:9" x14ac:dyDescent="0.2">
      <c r="A2" s="882" t="s">
        <v>610</v>
      </c>
      <c r="B2" s="882"/>
    </row>
    <row r="3" spans="1:9" x14ac:dyDescent="0.2">
      <c r="A3" s="525"/>
      <c r="B3" s="305"/>
    </row>
    <row r="4" spans="1:9" ht="12.75" customHeight="1" x14ac:dyDescent="0.2">
      <c r="A4" s="904" t="s">
        <v>1162</v>
      </c>
      <c r="B4" s="904"/>
      <c r="C4" s="904"/>
      <c r="D4" s="904"/>
    </row>
    <row r="5" spans="1:9" x14ac:dyDescent="0.2">
      <c r="A5" s="905"/>
      <c r="B5" s="905"/>
      <c r="C5" s="905"/>
      <c r="D5" s="905"/>
    </row>
    <row r="6" spans="1:9" ht="19.5" customHeight="1" x14ac:dyDescent="0.2">
      <c r="A6" s="906"/>
      <c r="B6" s="906"/>
      <c r="C6" s="906"/>
      <c r="D6" s="906"/>
    </row>
    <row r="7" spans="1:9" x14ac:dyDescent="0.2">
      <c r="A7" s="46"/>
      <c r="B7" s="317" t="s">
        <v>1199</v>
      </c>
      <c r="C7" s="320" t="s">
        <v>1234</v>
      </c>
      <c r="D7" s="477" t="s">
        <v>1234</v>
      </c>
    </row>
    <row r="8" spans="1:9" x14ac:dyDescent="0.2">
      <c r="A8" s="52" t="s">
        <v>9</v>
      </c>
      <c r="B8" s="318" t="s">
        <v>26</v>
      </c>
      <c r="C8" s="321" t="s">
        <v>612</v>
      </c>
      <c r="D8" s="473" t="s">
        <v>611</v>
      </c>
    </row>
    <row r="9" spans="1:9" x14ac:dyDescent="0.2">
      <c r="A9" s="51"/>
      <c r="B9" s="319" t="s">
        <v>67</v>
      </c>
      <c r="C9" s="322" t="s">
        <v>67</v>
      </c>
      <c r="D9" s="474" t="s">
        <v>246</v>
      </c>
    </row>
    <row r="10" spans="1:9" x14ac:dyDescent="0.2">
      <c r="A10" s="2"/>
      <c r="B10" s="318"/>
      <c r="C10" s="323"/>
      <c r="D10" s="475"/>
    </row>
    <row r="11" spans="1:9" x14ac:dyDescent="0.2">
      <c r="A11" t="s">
        <v>30</v>
      </c>
      <c r="B11" s="861">
        <v>39700</v>
      </c>
      <c r="C11" s="323">
        <v>40000</v>
      </c>
      <c r="D11" s="475"/>
      <c r="F11" s="40"/>
      <c r="G11" s="40"/>
      <c r="I11" s="40"/>
    </row>
    <row r="12" spans="1:9" x14ac:dyDescent="0.2">
      <c r="A12" t="s">
        <v>32</v>
      </c>
      <c r="B12" s="861">
        <v>35350</v>
      </c>
      <c r="C12" s="323">
        <v>35900</v>
      </c>
      <c r="D12" s="475"/>
      <c r="F12" s="40"/>
      <c r="G12" s="40"/>
      <c r="I12" s="40"/>
    </row>
    <row r="13" spans="1:9" x14ac:dyDescent="0.2">
      <c r="A13" t="s">
        <v>33</v>
      </c>
      <c r="B13" s="861">
        <v>22200</v>
      </c>
      <c r="C13" s="323">
        <v>24050</v>
      </c>
      <c r="D13" s="475"/>
      <c r="F13" s="40"/>
      <c r="G13" s="40"/>
      <c r="I13" s="40"/>
    </row>
    <row r="14" spans="1:9" x14ac:dyDescent="0.2">
      <c r="A14" s="16" t="s">
        <v>34</v>
      </c>
      <c r="B14" s="314">
        <f>SUM(B11:B13)</f>
        <v>97250</v>
      </c>
      <c r="C14" s="520">
        <f>SUM(C11:C13)</f>
        <v>99950</v>
      </c>
      <c r="D14" s="472">
        <f>C14-B14</f>
        <v>2700</v>
      </c>
      <c r="F14" s="40"/>
      <c r="G14" s="40"/>
      <c r="I14" s="40"/>
    </row>
    <row r="15" spans="1:9" x14ac:dyDescent="0.2">
      <c r="B15" s="313"/>
      <c r="C15" s="323"/>
      <c r="D15" s="475"/>
      <c r="F15" s="40"/>
      <c r="G15" s="40"/>
      <c r="I15" s="40"/>
    </row>
    <row r="16" spans="1:9" s="356" customFormat="1" x14ac:dyDescent="0.2">
      <c r="A16" s="356" t="s">
        <v>693</v>
      </c>
      <c r="B16" s="861">
        <v>83000</v>
      </c>
      <c r="C16" s="323">
        <v>83750</v>
      </c>
      <c r="D16" s="475"/>
      <c r="F16" s="40"/>
      <c r="G16" s="40"/>
      <c r="I16" s="40"/>
    </row>
    <row r="17" spans="1:9" x14ac:dyDescent="0.2">
      <c r="A17" t="s">
        <v>35</v>
      </c>
      <c r="B17" s="861">
        <v>67700</v>
      </c>
      <c r="C17" s="323">
        <v>68410</v>
      </c>
      <c r="D17" s="475"/>
      <c r="F17" s="40"/>
      <c r="G17" s="40"/>
      <c r="I17" s="40"/>
    </row>
    <row r="18" spans="1:9" x14ac:dyDescent="0.2">
      <c r="A18" t="s">
        <v>36</v>
      </c>
      <c r="B18" s="861">
        <v>60000</v>
      </c>
      <c r="C18" s="323">
        <v>65460</v>
      </c>
      <c r="D18" s="475"/>
      <c r="F18" s="40"/>
      <c r="G18" s="40"/>
      <c r="I18" s="40"/>
    </row>
    <row r="19" spans="1:9" x14ac:dyDescent="0.2">
      <c r="A19" t="s">
        <v>37</v>
      </c>
      <c r="B19" s="861">
        <v>98500</v>
      </c>
      <c r="C19" s="323">
        <v>93920</v>
      </c>
      <c r="D19" s="475"/>
      <c r="F19" s="40"/>
      <c r="G19" s="40"/>
      <c r="I19" s="40"/>
    </row>
    <row r="20" spans="1:9" x14ac:dyDescent="0.2">
      <c r="A20" t="s">
        <v>38</v>
      </c>
      <c r="B20" s="861">
        <v>87000</v>
      </c>
      <c r="C20" s="323">
        <v>93100</v>
      </c>
      <c r="D20" s="475"/>
      <c r="F20" s="40"/>
      <c r="G20" s="40"/>
      <c r="I20" s="40"/>
    </row>
    <row r="21" spans="1:9" x14ac:dyDescent="0.2">
      <c r="A21" t="s">
        <v>39</v>
      </c>
      <c r="B21" s="861">
        <v>55000</v>
      </c>
      <c r="C21" s="323">
        <v>59190</v>
      </c>
      <c r="D21" s="475"/>
      <c r="F21" s="40"/>
      <c r="G21" s="40"/>
      <c r="I21" s="40"/>
    </row>
    <row r="22" spans="1:9" x14ac:dyDescent="0.2">
      <c r="A22" t="s">
        <v>40</v>
      </c>
      <c r="B22" s="861">
        <v>74000</v>
      </c>
      <c r="C22" s="323">
        <v>85490</v>
      </c>
      <c r="D22" s="475"/>
      <c r="F22" s="40"/>
      <c r="G22" s="40"/>
      <c r="I22" s="40"/>
    </row>
    <row r="23" spans="1:9" s="356" customFormat="1" x14ac:dyDescent="0.2">
      <c r="A23" s="356" t="s">
        <v>667</v>
      </c>
      <c r="B23" s="861">
        <v>96000</v>
      </c>
      <c r="C23" s="323">
        <v>88000</v>
      </c>
      <c r="D23" s="475"/>
      <c r="F23" s="40"/>
      <c r="G23" s="40"/>
      <c r="I23" s="40"/>
    </row>
    <row r="24" spans="1:9" x14ac:dyDescent="0.2">
      <c r="A24" t="s">
        <v>41</v>
      </c>
      <c r="B24" s="861">
        <v>91500</v>
      </c>
      <c r="C24" s="323">
        <v>105050</v>
      </c>
      <c r="D24" s="475"/>
      <c r="F24" s="40"/>
      <c r="G24" s="40"/>
      <c r="I24" s="40"/>
    </row>
    <row r="25" spans="1:9" x14ac:dyDescent="0.2">
      <c r="A25" t="s">
        <v>42</v>
      </c>
      <c r="B25" s="861">
        <v>54700</v>
      </c>
      <c r="C25" s="323">
        <v>76500</v>
      </c>
      <c r="D25" s="475"/>
      <c r="F25" s="40"/>
      <c r="G25" s="40"/>
      <c r="I25" s="40"/>
    </row>
    <row r="26" spans="1:9" x14ac:dyDescent="0.2">
      <c r="A26" t="s">
        <v>43</v>
      </c>
      <c r="B26" s="861">
        <v>101000</v>
      </c>
      <c r="C26" s="323">
        <v>117240</v>
      </c>
      <c r="D26" s="475"/>
      <c r="F26" s="40"/>
      <c r="G26" s="40"/>
      <c r="I26" s="40"/>
    </row>
    <row r="27" spans="1:9" s="395" customFormat="1" x14ac:dyDescent="0.2">
      <c r="A27" s="387" t="s">
        <v>818</v>
      </c>
      <c r="B27" s="861">
        <v>69000</v>
      </c>
      <c r="C27" s="323">
        <v>84510</v>
      </c>
      <c r="D27" s="475"/>
      <c r="F27" s="40"/>
      <c r="G27" s="40"/>
      <c r="I27" s="40"/>
    </row>
    <row r="28" spans="1:9" x14ac:dyDescent="0.2">
      <c r="A28" t="s">
        <v>44</v>
      </c>
      <c r="B28" s="861">
        <v>74300</v>
      </c>
      <c r="C28" s="323">
        <v>78000</v>
      </c>
      <c r="D28" s="475"/>
      <c r="F28" s="40"/>
      <c r="G28" s="40"/>
      <c r="I28" s="40"/>
    </row>
    <row r="29" spans="1:9" x14ac:dyDescent="0.2">
      <c r="A29" t="s">
        <v>45</v>
      </c>
      <c r="B29" s="861">
        <v>70700</v>
      </c>
      <c r="C29" s="323">
        <v>68110</v>
      </c>
      <c r="D29" s="475"/>
      <c r="F29" s="40"/>
      <c r="G29" s="40"/>
      <c r="I29" s="40"/>
    </row>
    <row r="30" spans="1:9" x14ac:dyDescent="0.2">
      <c r="A30" s="16" t="s">
        <v>46</v>
      </c>
      <c r="B30" s="314">
        <f>SUM(B16:B29)</f>
        <v>1082400</v>
      </c>
      <c r="C30" s="520">
        <f>SUM(C16:C29)</f>
        <v>1166730</v>
      </c>
      <c r="D30" s="472">
        <f>C30-B30</f>
        <v>84330</v>
      </c>
      <c r="F30" s="40"/>
      <c r="G30" s="40"/>
      <c r="I30" s="40"/>
    </row>
    <row r="31" spans="1:9" x14ac:dyDescent="0.2">
      <c r="B31" s="313"/>
      <c r="C31" s="323"/>
      <c r="D31" s="475"/>
      <c r="F31" s="40"/>
      <c r="G31" s="40"/>
      <c r="I31" s="40"/>
    </row>
    <row r="32" spans="1:9" x14ac:dyDescent="0.2">
      <c r="A32" t="s">
        <v>47</v>
      </c>
      <c r="B32" s="861">
        <v>245000</v>
      </c>
      <c r="C32" s="323">
        <v>280420</v>
      </c>
      <c r="D32" s="475"/>
      <c r="F32" s="40"/>
      <c r="G32" s="40"/>
      <c r="I32" s="40"/>
    </row>
    <row r="33" spans="1:9" x14ac:dyDescent="0.2">
      <c r="A33" t="s">
        <v>48</v>
      </c>
      <c r="B33" s="861">
        <v>230000</v>
      </c>
      <c r="C33" s="323">
        <v>206210</v>
      </c>
      <c r="D33" s="475"/>
      <c r="F33" s="40"/>
      <c r="G33" s="40"/>
      <c r="I33" s="40"/>
    </row>
    <row r="34" spans="1:9" x14ac:dyDescent="0.2">
      <c r="A34" s="16" t="s">
        <v>49</v>
      </c>
      <c r="B34" s="314">
        <f>SUM(B32:B33)</f>
        <v>475000</v>
      </c>
      <c r="C34" s="520">
        <f>SUM(C32:C33)</f>
        <v>486630</v>
      </c>
      <c r="D34" s="472">
        <f>C34-B34</f>
        <v>11630</v>
      </c>
      <c r="F34" s="40"/>
      <c r="G34" s="40"/>
      <c r="I34" s="40"/>
    </row>
    <row r="35" spans="1:9" x14ac:dyDescent="0.2">
      <c r="B35" s="313"/>
      <c r="C35" s="323"/>
      <c r="D35" s="475"/>
      <c r="F35" s="40"/>
      <c r="G35" s="40"/>
      <c r="I35" s="40"/>
    </row>
    <row r="36" spans="1:9" x14ac:dyDescent="0.2">
      <c r="A36" t="s">
        <v>50</v>
      </c>
      <c r="B36" s="861">
        <v>53000</v>
      </c>
      <c r="C36" s="323">
        <v>58120</v>
      </c>
      <c r="D36" s="475"/>
      <c r="F36" s="40"/>
      <c r="G36" s="40"/>
      <c r="I36" s="40"/>
    </row>
    <row r="37" spans="1:9" x14ac:dyDescent="0.2">
      <c r="A37" t="s">
        <v>51</v>
      </c>
      <c r="B37" s="861">
        <v>386000</v>
      </c>
      <c r="C37" s="323">
        <v>420520</v>
      </c>
      <c r="D37" s="475"/>
      <c r="F37" s="40"/>
      <c r="G37" s="40"/>
      <c r="I37" s="40"/>
    </row>
    <row r="38" spans="1:9" x14ac:dyDescent="0.2">
      <c r="A38" s="395" t="s">
        <v>871</v>
      </c>
      <c r="B38" s="861">
        <v>410000</v>
      </c>
      <c r="C38" s="323">
        <v>462550</v>
      </c>
      <c r="D38" s="475"/>
      <c r="F38" s="40"/>
      <c r="G38" s="40"/>
      <c r="I38" s="40"/>
    </row>
    <row r="39" spans="1:9" x14ac:dyDescent="0.2">
      <c r="A39" t="s">
        <v>52</v>
      </c>
      <c r="B39" s="861">
        <v>185500</v>
      </c>
      <c r="C39" s="323">
        <v>175460</v>
      </c>
      <c r="D39" s="475"/>
      <c r="F39" s="40"/>
      <c r="G39" s="40"/>
      <c r="I39" s="40"/>
    </row>
    <row r="40" spans="1:9" x14ac:dyDescent="0.2">
      <c r="A40" s="16" t="s">
        <v>53</v>
      </c>
      <c r="B40" s="314">
        <f>SUM(B36:B39)</f>
        <v>1034500</v>
      </c>
      <c r="C40" s="520">
        <f>SUM(C36:C39)</f>
        <v>1116650</v>
      </c>
      <c r="D40" s="472">
        <f>C40-B40</f>
        <v>82150</v>
      </c>
      <c r="F40" s="40"/>
      <c r="G40" s="40"/>
      <c r="I40" s="40"/>
    </row>
    <row r="41" spans="1:9" x14ac:dyDescent="0.2">
      <c r="B41" s="313"/>
      <c r="C41" s="323"/>
      <c r="D41" s="475"/>
      <c r="F41" s="40"/>
      <c r="G41" s="40"/>
      <c r="I41" s="40"/>
    </row>
    <row r="42" spans="1:9" x14ac:dyDescent="0.2">
      <c r="A42" s="23" t="s">
        <v>105</v>
      </c>
      <c r="B42" s="518">
        <f>B40+B34+B30+B14</f>
        <v>2689150</v>
      </c>
      <c r="C42" s="519">
        <f>C14+C30+C34+C40</f>
        <v>2869960</v>
      </c>
      <c r="D42" s="476">
        <f>D40+D34+D30+D14</f>
        <v>180810</v>
      </c>
      <c r="F42" s="40"/>
      <c r="G42" s="40"/>
      <c r="I42" s="40"/>
    </row>
    <row r="43" spans="1:9" x14ac:dyDescent="0.2">
      <c r="B43" s="313"/>
      <c r="C43" s="323"/>
      <c r="D43" s="475"/>
      <c r="F43" s="40"/>
      <c r="G43" s="40"/>
      <c r="I43" s="40"/>
    </row>
    <row r="44" spans="1:9" s="395" customFormat="1" x14ac:dyDescent="0.2">
      <c r="A44" s="395" t="s">
        <v>835</v>
      </c>
      <c r="B44" s="861">
        <v>3000</v>
      </c>
      <c r="C44" s="323">
        <v>3000</v>
      </c>
      <c r="D44" s="475"/>
      <c r="F44" s="40"/>
      <c r="G44" s="40"/>
      <c r="I44" s="40"/>
    </row>
    <row r="45" spans="1:9" x14ac:dyDescent="0.2">
      <c r="A45" t="s">
        <v>106</v>
      </c>
      <c r="B45" s="861">
        <v>43000</v>
      </c>
      <c r="C45" s="323">
        <v>59570</v>
      </c>
      <c r="D45" s="475"/>
      <c r="F45" s="40"/>
      <c r="G45" s="40"/>
      <c r="I45" s="40"/>
    </row>
    <row r="46" spans="1:9" x14ac:dyDescent="0.2">
      <c r="A46" s="387" t="s">
        <v>797</v>
      </c>
      <c r="B46" s="861">
        <v>57000</v>
      </c>
      <c r="C46" s="323">
        <v>48630</v>
      </c>
      <c r="D46" s="475"/>
      <c r="F46" s="40"/>
      <c r="G46" s="40"/>
      <c r="I46" s="40"/>
    </row>
    <row r="47" spans="1:9" x14ac:dyDescent="0.2">
      <c r="A47" t="s">
        <v>107</v>
      </c>
      <c r="B47" s="861">
        <v>83000</v>
      </c>
      <c r="C47" s="323">
        <v>78940</v>
      </c>
      <c r="D47" s="475"/>
      <c r="F47" s="40"/>
      <c r="G47" s="40"/>
      <c r="I47" s="40"/>
    </row>
    <row r="48" spans="1:9" x14ac:dyDescent="0.2">
      <c r="A48" t="s">
        <v>70</v>
      </c>
      <c r="B48" s="861">
        <v>26500</v>
      </c>
      <c r="C48" s="323">
        <v>32410</v>
      </c>
      <c r="D48" s="475"/>
      <c r="F48" s="40"/>
      <c r="G48" s="40"/>
      <c r="I48" s="40"/>
    </row>
    <row r="49" spans="1:9" x14ac:dyDescent="0.2">
      <c r="A49" t="s">
        <v>73</v>
      </c>
      <c r="B49" s="861">
        <v>3000</v>
      </c>
      <c r="C49" s="323">
        <v>500</v>
      </c>
      <c r="D49" s="475"/>
      <c r="F49" s="40"/>
      <c r="G49" s="40"/>
      <c r="I49" s="40"/>
    </row>
    <row r="50" spans="1:9" x14ac:dyDescent="0.2">
      <c r="A50" t="s">
        <v>338</v>
      </c>
      <c r="B50" s="861">
        <v>500</v>
      </c>
      <c r="C50" s="323">
        <v>650</v>
      </c>
      <c r="D50" s="475"/>
      <c r="F50" s="40"/>
      <c r="G50" s="40"/>
      <c r="I50" s="40"/>
    </row>
    <row r="51" spans="1:9" x14ac:dyDescent="0.2">
      <c r="A51" t="s">
        <v>288</v>
      </c>
      <c r="B51" s="861">
        <v>38000</v>
      </c>
      <c r="C51" s="323">
        <v>45430</v>
      </c>
      <c r="D51" s="475"/>
      <c r="F51" s="40"/>
      <c r="G51" s="40"/>
      <c r="I51" s="40"/>
    </row>
    <row r="52" spans="1:9" x14ac:dyDescent="0.2">
      <c r="A52" t="s">
        <v>289</v>
      </c>
      <c r="B52" s="861">
        <v>4000</v>
      </c>
      <c r="C52" s="323">
        <v>5000</v>
      </c>
      <c r="D52" s="475"/>
      <c r="F52" s="40"/>
      <c r="G52" s="40"/>
      <c r="I52" s="40"/>
    </row>
    <row r="53" spans="1:9" x14ac:dyDescent="0.2">
      <c r="A53" t="s">
        <v>108</v>
      </c>
      <c r="B53" s="861">
        <v>10000</v>
      </c>
      <c r="C53" s="323">
        <v>10000</v>
      </c>
      <c r="D53" s="475"/>
      <c r="F53" s="40"/>
      <c r="G53" s="40"/>
      <c r="I53" s="40"/>
    </row>
    <row r="54" spans="1:9" x14ac:dyDescent="0.2">
      <c r="A54" s="387" t="s">
        <v>744</v>
      </c>
      <c r="B54" s="861">
        <v>5000</v>
      </c>
      <c r="C54" s="323">
        <v>8320</v>
      </c>
      <c r="D54" s="475"/>
      <c r="F54" s="40"/>
      <c r="G54" s="40"/>
      <c r="I54" s="40"/>
    </row>
    <row r="55" spans="1:9" s="356" customFormat="1" x14ac:dyDescent="0.2">
      <c r="A55" s="387" t="s">
        <v>109</v>
      </c>
      <c r="B55" s="861">
        <v>101052</v>
      </c>
      <c r="C55" s="323">
        <v>98292</v>
      </c>
      <c r="D55" s="475"/>
      <c r="F55" s="40"/>
      <c r="G55" s="40"/>
      <c r="I55" s="40"/>
    </row>
    <row r="56" spans="1:9" x14ac:dyDescent="0.2">
      <c r="A56" s="23" t="s">
        <v>110</v>
      </c>
      <c r="B56" s="315">
        <f>SUM(B44:B55)</f>
        <v>374052</v>
      </c>
      <c r="C56" s="519">
        <f>SUM(C44:C55)</f>
        <v>390742</v>
      </c>
      <c r="D56" s="472">
        <f>C56-B56</f>
        <v>16690</v>
      </c>
      <c r="F56" s="40"/>
      <c r="G56" s="40"/>
      <c r="I56" s="40"/>
    </row>
    <row r="57" spans="1:9" x14ac:dyDescent="0.2">
      <c r="B57" s="313"/>
      <c r="C57" s="323"/>
      <c r="D57" s="475"/>
      <c r="F57" s="40"/>
      <c r="G57" s="40"/>
      <c r="I57" s="40"/>
    </row>
    <row r="58" spans="1:9" x14ac:dyDescent="0.2">
      <c r="A58" s="14" t="s">
        <v>112</v>
      </c>
      <c r="B58" s="316">
        <f>SUM(B42+B56)</f>
        <v>3063202</v>
      </c>
      <c r="C58" s="521">
        <f>C42+C56</f>
        <v>3260702</v>
      </c>
      <c r="D58" s="472">
        <f>C58-B58</f>
        <v>197500</v>
      </c>
      <c r="F58" s="40"/>
      <c r="G58" s="40"/>
    </row>
    <row r="59" spans="1:9" x14ac:dyDescent="0.2">
      <c r="B59" s="136"/>
      <c r="C59" s="60"/>
      <c r="D59" s="60"/>
    </row>
  </sheetData>
  <mergeCells count="3">
    <mergeCell ref="A2:B2"/>
    <mergeCell ref="A4:D6"/>
    <mergeCell ref="A1:F1"/>
  </mergeCells>
  <phoneticPr fontId="0" type="noConversion"/>
  <printOptions horizontalCentered="1"/>
  <pageMargins left="0.34" right="0.26" top="0.56000000000000005" bottom="0.5" header="0.5" footer="0.22"/>
  <pageSetup scale="88" firstPageNumber="22" orientation="portrait" useFirstPageNumber="1" r:id="rId1"/>
  <headerFooter alignWithMargins="0">
    <oddFooter>&amp;L&amp;6&amp;Z&amp;F&amp;C&amp;6Page &amp;P&amp;R&amp;6&amp;D   &amp;T</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K50"/>
  <sheetViews>
    <sheetView zoomScale="115" zoomScaleNormal="115" workbookViewId="0">
      <selection sqref="A1:F1"/>
    </sheetView>
  </sheetViews>
  <sheetFormatPr defaultRowHeight="12.75" x14ac:dyDescent="0.2"/>
  <cols>
    <col min="1" max="1" width="43.7109375" customWidth="1"/>
    <col min="2" max="2" width="23.140625" customWidth="1"/>
    <col min="3" max="3" width="10.140625" style="425" bestFit="1" customWidth="1"/>
    <col min="4" max="4" width="1.85546875" style="425" customWidth="1"/>
    <col min="5" max="5" width="10.140625" style="425" bestFit="1" customWidth="1"/>
    <col min="6" max="6" width="9.85546875" style="40" bestFit="1" customWidth="1"/>
    <col min="8" max="8" width="9.7109375" bestFit="1" customWidth="1"/>
  </cols>
  <sheetData>
    <row r="1" spans="1:11" ht="18" x14ac:dyDescent="0.25">
      <c r="A1" s="878" t="s">
        <v>1299</v>
      </c>
      <c r="B1" s="878"/>
      <c r="C1" s="878"/>
      <c r="D1" s="878"/>
      <c r="E1" s="878"/>
      <c r="F1" s="878"/>
    </row>
    <row r="2" spans="1:11" x14ac:dyDescent="0.2">
      <c r="A2" s="882" t="s">
        <v>638</v>
      </c>
      <c r="B2" s="882"/>
      <c r="C2" s="882"/>
      <c r="D2" s="882"/>
      <c r="E2" s="882"/>
      <c r="F2" s="882"/>
    </row>
    <row r="3" spans="1:11" x14ac:dyDescent="0.2">
      <c r="A3" s="525"/>
      <c r="B3" s="177"/>
      <c r="C3" s="614"/>
      <c r="D3" s="614"/>
      <c r="E3" s="614"/>
      <c r="F3" s="655"/>
    </row>
    <row r="4" spans="1:11" ht="26.45" customHeight="1" x14ac:dyDescent="0.2">
      <c r="A4" s="888" t="s">
        <v>447</v>
      </c>
      <c r="B4" s="908"/>
      <c r="C4" s="908"/>
      <c r="D4" s="908"/>
      <c r="E4" s="908"/>
      <c r="F4" s="909"/>
    </row>
    <row r="5" spans="1:11" x14ac:dyDescent="0.2">
      <c r="A5" s="252"/>
      <c r="B5" s="253"/>
      <c r="C5" s="628"/>
      <c r="D5" s="628"/>
      <c r="E5" s="628"/>
      <c r="F5" s="121"/>
    </row>
    <row r="6" spans="1:11" x14ac:dyDescent="0.2">
      <c r="A6" s="90"/>
      <c r="B6" s="83"/>
      <c r="C6" s="629"/>
      <c r="D6" s="630"/>
      <c r="E6" s="631"/>
      <c r="F6" s="84"/>
    </row>
    <row r="7" spans="1:11" x14ac:dyDescent="0.2">
      <c r="A7" s="91"/>
      <c r="B7" s="85" t="s">
        <v>83</v>
      </c>
      <c r="C7" s="632" t="s">
        <v>80</v>
      </c>
      <c r="D7" s="633"/>
      <c r="E7" s="634" t="s">
        <v>125</v>
      </c>
      <c r="F7" s="86" t="s">
        <v>142</v>
      </c>
    </row>
    <row r="8" spans="1:11" x14ac:dyDescent="0.2">
      <c r="A8" s="289" t="s">
        <v>245</v>
      </c>
      <c r="B8" s="85" t="s">
        <v>146</v>
      </c>
      <c r="C8" s="632" t="s">
        <v>82</v>
      </c>
      <c r="D8" s="633"/>
      <c r="E8" s="634" t="s">
        <v>82</v>
      </c>
      <c r="F8" s="86" t="s">
        <v>145</v>
      </c>
    </row>
    <row r="9" spans="1:11" x14ac:dyDescent="0.2">
      <c r="A9" s="267"/>
      <c r="B9" s="87"/>
      <c r="C9" s="635" t="s">
        <v>67</v>
      </c>
      <c r="D9" s="636"/>
      <c r="E9" s="637" t="s">
        <v>67</v>
      </c>
      <c r="F9" s="88" t="s">
        <v>147</v>
      </c>
    </row>
    <row r="10" spans="1:11" x14ac:dyDescent="0.2">
      <c r="A10" s="185" t="s">
        <v>885</v>
      </c>
      <c r="B10" s="355" t="s">
        <v>439</v>
      </c>
      <c r="C10" s="638">
        <v>2185</v>
      </c>
      <c r="D10" s="639"/>
      <c r="E10" s="640">
        <v>2185</v>
      </c>
      <c r="F10" s="89">
        <f>C10-E10</f>
        <v>0</v>
      </c>
      <c r="G10" t="s">
        <v>696</v>
      </c>
      <c r="I10" s="40">
        <f>SUM(F10:F16)</f>
        <v>0</v>
      </c>
      <c r="K10" s="40"/>
    </row>
    <row r="11" spans="1:11" x14ac:dyDescent="0.2">
      <c r="A11" s="185" t="s">
        <v>886</v>
      </c>
      <c r="B11" s="355" t="s">
        <v>438</v>
      </c>
      <c r="C11" s="638">
        <v>1710</v>
      </c>
      <c r="D11" s="639"/>
      <c r="E11" s="640">
        <v>1710</v>
      </c>
      <c r="F11" s="89">
        <f t="shared" ref="F11:F40" si="0">C11-E11</f>
        <v>0</v>
      </c>
      <c r="G11" t="s">
        <v>697</v>
      </c>
      <c r="I11" s="40">
        <f>SUM(F18:F23)</f>
        <v>0</v>
      </c>
      <c r="K11" s="40"/>
    </row>
    <row r="12" spans="1:11" x14ac:dyDescent="0.2">
      <c r="A12" s="185" t="s">
        <v>324</v>
      </c>
      <c r="B12" s="355" t="s">
        <v>440</v>
      </c>
      <c r="C12" s="638">
        <v>1625</v>
      </c>
      <c r="D12" s="639"/>
      <c r="E12" s="640">
        <v>1625</v>
      </c>
      <c r="F12" s="89">
        <f t="shared" si="0"/>
        <v>0</v>
      </c>
      <c r="G12" t="s">
        <v>698</v>
      </c>
      <c r="I12" s="121">
        <f>SUM(F24:F39)</f>
        <v>0</v>
      </c>
      <c r="K12" s="40"/>
    </row>
    <row r="13" spans="1:11" x14ac:dyDescent="0.2">
      <c r="A13" s="550" t="s">
        <v>1300</v>
      </c>
      <c r="B13" s="552" t="s">
        <v>1301</v>
      </c>
      <c r="C13" s="638">
        <v>4100</v>
      </c>
      <c r="D13" s="639"/>
      <c r="E13" s="640">
        <v>4100</v>
      </c>
      <c r="F13" s="89">
        <f t="shared" si="0"/>
        <v>0</v>
      </c>
      <c r="I13" s="40">
        <f>SUM(I10:I12)</f>
        <v>0</v>
      </c>
      <c r="K13" s="40"/>
    </row>
    <row r="14" spans="1:11" x14ac:dyDescent="0.2">
      <c r="A14" s="550" t="s">
        <v>912</v>
      </c>
      <c r="B14" s="552" t="s">
        <v>938</v>
      </c>
      <c r="C14" s="638">
        <v>1425</v>
      </c>
      <c r="D14" s="639"/>
      <c r="E14" s="640">
        <v>1425</v>
      </c>
      <c r="F14" s="89">
        <f t="shared" si="0"/>
        <v>0</v>
      </c>
      <c r="K14" s="40"/>
    </row>
    <row r="15" spans="1:11" s="395" customFormat="1" x14ac:dyDescent="0.2">
      <c r="A15" s="550" t="s">
        <v>913</v>
      </c>
      <c r="B15" s="552" t="s">
        <v>939</v>
      </c>
      <c r="C15" s="638">
        <v>1425</v>
      </c>
      <c r="D15" s="639"/>
      <c r="E15" s="640">
        <v>1425</v>
      </c>
      <c r="F15" s="89">
        <f t="shared" si="0"/>
        <v>0</v>
      </c>
      <c r="K15" s="40"/>
    </row>
    <row r="16" spans="1:11" x14ac:dyDescent="0.2">
      <c r="A16" s="185" t="s">
        <v>326</v>
      </c>
      <c r="B16" s="355" t="s">
        <v>671</v>
      </c>
      <c r="C16" s="638">
        <v>1570</v>
      </c>
      <c r="D16" s="639"/>
      <c r="E16" s="640">
        <v>1570</v>
      </c>
      <c r="F16" s="89">
        <f t="shared" si="0"/>
        <v>0</v>
      </c>
      <c r="G16" s="40"/>
      <c r="K16" s="40"/>
    </row>
    <row r="17" spans="1:11" s="395" customFormat="1" x14ac:dyDescent="0.2">
      <c r="A17" s="185" t="s">
        <v>731</v>
      </c>
      <c r="B17" s="355" t="s">
        <v>732</v>
      </c>
      <c r="C17" s="638">
        <v>430</v>
      </c>
      <c r="D17" s="639"/>
      <c r="E17" s="640">
        <v>430</v>
      </c>
      <c r="F17" s="89">
        <f t="shared" si="0"/>
        <v>0</v>
      </c>
      <c r="G17" s="40"/>
      <c r="K17" s="40"/>
    </row>
    <row r="18" spans="1:11" s="175" customFormat="1" x14ac:dyDescent="0.2">
      <c r="A18" s="550" t="s">
        <v>908</v>
      </c>
      <c r="B18" s="552" t="s">
        <v>909</v>
      </c>
      <c r="C18" s="638">
        <v>450</v>
      </c>
      <c r="D18" s="639"/>
      <c r="E18" s="640">
        <v>450</v>
      </c>
      <c r="F18" s="89">
        <f t="shared" si="0"/>
        <v>0</v>
      </c>
      <c r="K18" s="40"/>
    </row>
    <row r="19" spans="1:11" s="388" customFormat="1" x14ac:dyDescent="0.2">
      <c r="A19" s="550" t="s">
        <v>910</v>
      </c>
      <c r="B19" s="552" t="s">
        <v>911</v>
      </c>
      <c r="C19" s="638">
        <v>575</v>
      </c>
      <c r="D19" s="639"/>
      <c r="E19" s="640">
        <v>575</v>
      </c>
      <c r="F19" s="89">
        <f t="shared" si="0"/>
        <v>0</v>
      </c>
      <c r="K19" s="40"/>
    </row>
    <row r="20" spans="1:11" s="397" customFormat="1" x14ac:dyDescent="0.2">
      <c r="A20" s="550" t="s">
        <v>410</v>
      </c>
      <c r="B20" s="552" t="s">
        <v>455</v>
      </c>
      <c r="C20" s="638">
        <v>950</v>
      </c>
      <c r="D20" s="639"/>
      <c r="E20" s="640">
        <v>950</v>
      </c>
      <c r="F20" s="89">
        <f t="shared" si="0"/>
        <v>0</v>
      </c>
      <c r="K20" s="40"/>
    </row>
    <row r="21" spans="1:11" s="397" customFormat="1" x14ac:dyDescent="0.2">
      <c r="A21" s="550" t="s">
        <v>325</v>
      </c>
      <c r="B21" s="552" t="s">
        <v>456</v>
      </c>
      <c r="C21" s="638">
        <v>385</v>
      </c>
      <c r="D21" s="639"/>
      <c r="E21" s="640">
        <v>385</v>
      </c>
      <c r="F21" s="89">
        <f t="shared" si="0"/>
        <v>0</v>
      </c>
      <c r="K21" s="40"/>
    </row>
    <row r="22" spans="1:11" x14ac:dyDescent="0.2">
      <c r="A22" s="185" t="s">
        <v>897</v>
      </c>
      <c r="B22" s="355" t="s">
        <v>441</v>
      </c>
      <c r="C22" s="638">
        <v>1140</v>
      </c>
      <c r="D22" s="639"/>
      <c r="E22" s="640">
        <v>1140</v>
      </c>
      <c r="F22" s="89">
        <f t="shared" si="0"/>
        <v>0</v>
      </c>
      <c r="K22" s="40"/>
    </row>
    <row r="23" spans="1:11" x14ac:dyDescent="0.2">
      <c r="A23" s="185" t="s">
        <v>895</v>
      </c>
      <c r="B23" s="355" t="s">
        <v>898</v>
      </c>
      <c r="C23" s="638">
        <v>380</v>
      </c>
      <c r="D23" s="639"/>
      <c r="E23" s="640">
        <v>380</v>
      </c>
      <c r="F23" s="89">
        <f t="shared" si="0"/>
        <v>0</v>
      </c>
      <c r="G23" s="40"/>
      <c r="K23" s="40"/>
    </row>
    <row r="24" spans="1:11" x14ac:dyDescent="0.2">
      <c r="A24" s="185" t="s">
        <v>896</v>
      </c>
      <c r="B24" s="355" t="s">
        <v>894</v>
      </c>
      <c r="C24" s="638">
        <v>380</v>
      </c>
      <c r="D24" s="639"/>
      <c r="E24" s="640">
        <v>380</v>
      </c>
      <c r="F24" s="89">
        <f t="shared" si="0"/>
        <v>0</v>
      </c>
      <c r="K24" s="40"/>
    </row>
    <row r="25" spans="1:11" s="395" customFormat="1" x14ac:dyDescent="0.2">
      <c r="A25" s="185" t="s">
        <v>883</v>
      </c>
      <c r="B25" s="355" t="s">
        <v>442</v>
      </c>
      <c r="C25" s="638">
        <v>930</v>
      </c>
      <c r="D25" s="639"/>
      <c r="E25" s="640">
        <v>930</v>
      </c>
      <c r="F25" s="89">
        <f t="shared" si="0"/>
        <v>0</v>
      </c>
      <c r="K25" s="40"/>
    </row>
    <row r="26" spans="1:11" s="395" customFormat="1" x14ac:dyDescent="0.2">
      <c r="A26" s="185" t="s">
        <v>360</v>
      </c>
      <c r="B26" s="355" t="s">
        <v>443</v>
      </c>
      <c r="C26" s="638">
        <v>665</v>
      </c>
      <c r="D26" s="639"/>
      <c r="E26" s="640">
        <v>665</v>
      </c>
      <c r="F26" s="89">
        <f t="shared" si="0"/>
        <v>0</v>
      </c>
      <c r="K26" s="40"/>
    </row>
    <row r="27" spans="1:11" x14ac:dyDescent="0.2">
      <c r="A27" s="550" t="s">
        <v>307</v>
      </c>
      <c r="B27" s="552" t="s">
        <v>444</v>
      </c>
      <c r="C27" s="638">
        <v>475</v>
      </c>
      <c r="D27" s="639"/>
      <c r="E27" s="640">
        <v>475</v>
      </c>
      <c r="F27" s="89">
        <f t="shared" si="0"/>
        <v>0</v>
      </c>
      <c r="K27" s="40"/>
    </row>
    <row r="28" spans="1:11" x14ac:dyDescent="0.2">
      <c r="A28" s="550" t="s">
        <v>899</v>
      </c>
      <c r="B28" s="552" t="s">
        <v>900</v>
      </c>
      <c r="C28" s="638">
        <v>475</v>
      </c>
      <c r="D28" s="639"/>
      <c r="E28" s="640">
        <v>475</v>
      </c>
      <c r="F28" s="89">
        <f t="shared" si="0"/>
        <v>0</v>
      </c>
      <c r="K28" s="40"/>
    </row>
    <row r="29" spans="1:11" x14ac:dyDescent="0.2">
      <c r="A29" s="550" t="s">
        <v>884</v>
      </c>
      <c r="B29" s="552" t="s">
        <v>445</v>
      </c>
      <c r="C29" s="638">
        <v>195</v>
      </c>
      <c r="D29" s="639"/>
      <c r="E29" s="640">
        <v>195</v>
      </c>
      <c r="F29" s="89">
        <f t="shared" si="0"/>
        <v>0</v>
      </c>
      <c r="K29" s="40"/>
    </row>
    <row r="30" spans="1:11" s="395" customFormat="1" x14ac:dyDescent="0.2">
      <c r="A30" s="550" t="s">
        <v>308</v>
      </c>
      <c r="B30" s="552" t="s">
        <v>446</v>
      </c>
      <c r="C30" s="638">
        <v>1285</v>
      </c>
      <c r="D30" s="639"/>
      <c r="E30" s="640">
        <v>1285</v>
      </c>
      <c r="F30" s="89">
        <f t="shared" si="0"/>
        <v>0</v>
      </c>
      <c r="K30" s="40"/>
    </row>
    <row r="31" spans="1:11" x14ac:dyDescent="0.2">
      <c r="A31" s="185" t="s">
        <v>680</v>
      </c>
      <c r="B31" s="355" t="s">
        <v>681</v>
      </c>
      <c r="C31" s="638">
        <v>5000</v>
      </c>
      <c r="D31" s="639"/>
      <c r="E31" s="640">
        <v>5000</v>
      </c>
      <c r="F31" s="89">
        <f t="shared" si="0"/>
        <v>0</v>
      </c>
      <c r="K31" s="40"/>
    </row>
    <row r="32" spans="1:11" x14ac:dyDescent="0.2">
      <c r="A32" s="185" t="s">
        <v>682</v>
      </c>
      <c r="B32" s="355" t="s">
        <v>683</v>
      </c>
      <c r="C32" s="638">
        <v>2310</v>
      </c>
      <c r="D32" s="639"/>
      <c r="E32" s="640">
        <v>2310</v>
      </c>
      <c r="F32" s="89">
        <f t="shared" si="0"/>
        <v>0</v>
      </c>
      <c r="K32" s="40"/>
    </row>
    <row r="33" spans="1:11" s="356" customFormat="1" x14ac:dyDescent="0.2">
      <c r="A33" s="550" t="s">
        <v>309</v>
      </c>
      <c r="B33" s="552" t="s">
        <v>1302</v>
      </c>
      <c r="C33" s="638">
        <v>715</v>
      </c>
      <c r="D33" s="639"/>
      <c r="E33" s="640">
        <v>715</v>
      </c>
      <c r="F33" s="89">
        <f t="shared" si="0"/>
        <v>0</v>
      </c>
      <c r="K33" s="40"/>
    </row>
    <row r="34" spans="1:11" s="356" customFormat="1" x14ac:dyDescent="0.2">
      <c r="A34" s="550" t="s">
        <v>838</v>
      </c>
      <c r="B34" s="552" t="s">
        <v>670</v>
      </c>
      <c r="C34" s="641">
        <v>340</v>
      </c>
      <c r="D34" s="639"/>
      <c r="E34" s="640">
        <v>340</v>
      </c>
      <c r="F34" s="89">
        <f t="shared" si="0"/>
        <v>0</v>
      </c>
      <c r="K34" s="40"/>
    </row>
    <row r="35" spans="1:11" x14ac:dyDescent="0.2">
      <c r="A35" s="550" t="s">
        <v>311</v>
      </c>
      <c r="B35" s="552" t="s">
        <v>1303</v>
      </c>
      <c r="C35" s="638">
        <v>855</v>
      </c>
      <c r="D35" s="639"/>
      <c r="E35" s="640">
        <v>855</v>
      </c>
      <c r="F35" s="89">
        <f t="shared" si="0"/>
        <v>0</v>
      </c>
      <c r="K35" s="40"/>
    </row>
    <row r="36" spans="1:11" x14ac:dyDescent="0.2">
      <c r="A36" s="185" t="s">
        <v>839</v>
      </c>
      <c r="B36" s="355" t="s">
        <v>673</v>
      </c>
      <c r="C36" s="638">
        <v>4955</v>
      </c>
      <c r="D36" s="639"/>
      <c r="E36" s="640">
        <v>4955</v>
      </c>
      <c r="F36" s="89">
        <f t="shared" si="0"/>
        <v>0</v>
      </c>
      <c r="G36" s="40"/>
      <c r="K36" s="40"/>
    </row>
    <row r="37" spans="1:11" x14ac:dyDescent="0.2">
      <c r="A37" s="869" t="s">
        <v>310</v>
      </c>
      <c r="B37" s="870" t="s">
        <v>457</v>
      </c>
      <c r="C37" s="642">
        <v>640</v>
      </c>
      <c r="D37" s="643"/>
      <c r="E37" s="644">
        <v>640</v>
      </c>
      <c r="F37" s="89">
        <f t="shared" si="0"/>
        <v>0</v>
      </c>
      <c r="G37" s="40"/>
      <c r="K37" s="40"/>
    </row>
    <row r="38" spans="1:11" s="356" customFormat="1" x14ac:dyDescent="0.2">
      <c r="A38" s="185"/>
      <c r="B38" s="355"/>
      <c r="C38" s="638"/>
      <c r="D38" s="639"/>
      <c r="E38" s="640"/>
      <c r="F38" s="89">
        <f>C38-E38</f>
        <v>0</v>
      </c>
      <c r="G38" s="40"/>
      <c r="K38" s="40"/>
    </row>
    <row r="39" spans="1:11" x14ac:dyDescent="0.2">
      <c r="A39" s="868"/>
      <c r="B39" s="297"/>
      <c r="C39" s="642"/>
      <c r="D39" s="643"/>
      <c r="E39" s="644"/>
      <c r="F39" s="292">
        <f t="shared" si="0"/>
        <v>0</v>
      </c>
      <c r="H39" s="40"/>
      <c r="K39" s="40"/>
    </row>
    <row r="40" spans="1:11" x14ac:dyDescent="0.2">
      <c r="A40" s="94" t="s">
        <v>437</v>
      </c>
      <c r="B40" s="93"/>
      <c r="C40" s="645">
        <f>SUM(C10:C39)</f>
        <v>37570</v>
      </c>
      <c r="D40" s="646"/>
      <c r="E40" s="640">
        <f>SUM(E10:E39)</f>
        <v>37570</v>
      </c>
      <c r="F40" s="63">
        <f t="shared" si="0"/>
        <v>0</v>
      </c>
      <c r="H40" s="40"/>
      <c r="I40" s="40"/>
    </row>
    <row r="42" spans="1:11" s="395" customFormat="1" x14ac:dyDescent="0.2">
      <c r="A42" s="551" t="s">
        <v>840</v>
      </c>
      <c r="B42" s="551"/>
      <c r="C42" s="425"/>
      <c r="D42" s="425"/>
      <c r="E42" s="425"/>
      <c r="F42" s="40"/>
    </row>
    <row r="43" spans="1:11" s="395" customFormat="1" x14ac:dyDescent="0.2">
      <c r="C43" s="425"/>
      <c r="D43" s="425"/>
      <c r="E43" s="425"/>
      <c r="F43" s="40"/>
    </row>
    <row r="44" spans="1:11" s="395" customFormat="1" x14ac:dyDescent="0.2">
      <c r="C44" s="425"/>
      <c r="D44" s="425"/>
      <c r="E44" s="425"/>
      <c r="F44" s="40"/>
    </row>
    <row r="46" spans="1:11" x14ac:dyDescent="0.2">
      <c r="A46" s="387"/>
    </row>
    <row r="49" spans="1:1" x14ac:dyDescent="0.2">
      <c r="A49" s="387"/>
    </row>
    <row r="50" spans="1:1" x14ac:dyDescent="0.2">
      <c r="A50" s="387"/>
    </row>
  </sheetData>
  <mergeCells count="3">
    <mergeCell ref="A1:F1"/>
    <mergeCell ref="A2:F2"/>
    <mergeCell ref="A4:F4"/>
  </mergeCells>
  <printOptions horizontalCentered="1"/>
  <pageMargins left="0.7" right="0.7" top="0.75" bottom="0.75" header="0.3" footer="0.3"/>
  <pageSetup scale="92" firstPageNumber="26" orientation="portrait" useFirstPageNumber="1" r:id="rId1"/>
  <headerFooter>
    <oddFooter>&amp;L&amp;6&amp;Z&amp;F  &amp;A
&amp;C&amp;6
Page &amp;P&amp;R&amp;6&amp;D  &amp;T</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3"/>
  <sheetViews>
    <sheetView workbookViewId="0">
      <selection activeCell="C10" sqref="C10:C11"/>
    </sheetView>
  </sheetViews>
  <sheetFormatPr defaultRowHeight="12.75" x14ac:dyDescent="0.2"/>
  <cols>
    <col min="1" max="1" width="30.7109375" customWidth="1"/>
    <col min="2" max="2" width="23.42578125" customWidth="1"/>
    <col min="3" max="3" width="10.140625" style="425" bestFit="1" customWidth="1"/>
    <col min="4" max="4" width="3.5703125" style="425" customWidth="1"/>
    <col min="5" max="5" width="10.140625" style="425" bestFit="1" customWidth="1"/>
    <col min="6" max="6" width="10.140625" style="40" customWidth="1"/>
  </cols>
  <sheetData>
    <row r="1" spans="1:8" ht="18" x14ac:dyDescent="0.25">
      <c r="A1" s="878" t="s">
        <v>1304</v>
      </c>
      <c r="B1" s="878"/>
      <c r="C1" s="878"/>
      <c r="D1" s="878"/>
      <c r="E1" s="878"/>
      <c r="F1" s="878"/>
    </row>
    <row r="2" spans="1:8" x14ac:dyDescent="0.2">
      <c r="A2" s="882" t="s">
        <v>733</v>
      </c>
      <c r="B2" s="882"/>
      <c r="C2" s="882"/>
      <c r="D2" s="882"/>
      <c r="E2" s="882"/>
      <c r="F2" s="882"/>
    </row>
    <row r="3" spans="1:8" x14ac:dyDescent="0.2">
      <c r="A3" s="525"/>
      <c r="B3" s="177"/>
      <c r="C3" s="614"/>
      <c r="D3" s="614"/>
      <c r="E3" s="614"/>
      <c r="F3" s="655"/>
    </row>
    <row r="4" spans="1:8" ht="26.45" customHeight="1" x14ac:dyDescent="0.2">
      <c r="A4" s="888" t="s">
        <v>447</v>
      </c>
      <c r="B4" s="908"/>
      <c r="C4" s="908"/>
      <c r="D4" s="908"/>
      <c r="E4" s="908"/>
      <c r="F4" s="909"/>
    </row>
    <row r="5" spans="1:8" x14ac:dyDescent="0.2">
      <c r="A5" s="252"/>
      <c r="B5" s="253"/>
      <c r="C5" s="628"/>
      <c r="D5" s="628"/>
      <c r="E5" s="628"/>
      <c r="F5" s="121"/>
    </row>
    <row r="6" spans="1:8" x14ac:dyDescent="0.2">
      <c r="A6" s="90"/>
      <c r="B6" s="83"/>
      <c r="C6" s="629"/>
      <c r="D6" s="630"/>
      <c r="E6" s="631"/>
      <c r="F6" s="84"/>
    </row>
    <row r="7" spans="1:8" x14ac:dyDescent="0.2">
      <c r="A7" s="91"/>
      <c r="B7" s="85" t="s">
        <v>83</v>
      </c>
      <c r="C7" s="632" t="s">
        <v>80</v>
      </c>
      <c r="D7" s="633"/>
      <c r="E7" s="634" t="s">
        <v>125</v>
      </c>
      <c r="F7" s="86" t="s">
        <v>142</v>
      </c>
    </row>
    <row r="8" spans="1:8" x14ac:dyDescent="0.2">
      <c r="A8" s="289" t="s">
        <v>245</v>
      </c>
      <c r="B8" s="85" t="s">
        <v>146</v>
      </c>
      <c r="C8" s="632" t="s">
        <v>82</v>
      </c>
      <c r="D8" s="633"/>
      <c r="E8" s="634" t="s">
        <v>82</v>
      </c>
      <c r="F8" s="86" t="s">
        <v>145</v>
      </c>
    </row>
    <row r="9" spans="1:8" x14ac:dyDescent="0.2">
      <c r="A9" s="267"/>
      <c r="B9" s="87"/>
      <c r="C9" s="647" t="s">
        <v>67</v>
      </c>
      <c r="D9" s="636"/>
      <c r="E9" s="637" t="s">
        <v>67</v>
      </c>
      <c r="F9" s="88" t="s">
        <v>147</v>
      </c>
    </row>
    <row r="10" spans="1:8" s="387" customFormat="1" x14ac:dyDescent="0.2">
      <c r="A10" s="579" t="s">
        <v>336</v>
      </c>
      <c r="B10" s="580" t="s">
        <v>454</v>
      </c>
      <c r="C10" s="648">
        <v>3790</v>
      </c>
      <c r="D10" s="649"/>
      <c r="E10" s="650">
        <v>3790</v>
      </c>
      <c r="F10" s="386">
        <f>C10-E10</f>
        <v>0</v>
      </c>
    </row>
    <row r="11" spans="1:8" x14ac:dyDescent="0.2">
      <c r="A11" s="188" t="s">
        <v>327</v>
      </c>
      <c r="B11" s="581" t="s">
        <v>902</v>
      </c>
      <c r="C11" s="651">
        <v>2101</v>
      </c>
      <c r="D11" s="649"/>
      <c r="E11" s="650">
        <v>2101</v>
      </c>
      <c r="F11" s="386">
        <f t="shared" ref="F11:F16" si="0">C11-E11</f>
        <v>0</v>
      </c>
      <c r="H11" s="162"/>
    </row>
    <row r="12" spans="1:8" x14ac:dyDescent="0.2">
      <c r="A12" s="188" t="s">
        <v>412</v>
      </c>
      <c r="B12" s="581" t="s">
        <v>903</v>
      </c>
      <c r="C12" s="651">
        <v>1000</v>
      </c>
      <c r="D12" s="649"/>
      <c r="E12" s="650">
        <v>1000</v>
      </c>
      <c r="F12" s="386">
        <f t="shared" si="0"/>
        <v>0</v>
      </c>
      <c r="H12" s="162"/>
    </row>
    <row r="13" spans="1:8" x14ac:dyDescent="0.2">
      <c r="A13" s="188" t="s">
        <v>357</v>
      </c>
      <c r="B13" s="581" t="s">
        <v>904</v>
      </c>
      <c r="C13" s="651">
        <v>1000</v>
      </c>
      <c r="D13" s="649"/>
      <c r="E13" s="650">
        <v>1000</v>
      </c>
      <c r="F13" s="386">
        <f t="shared" si="0"/>
        <v>0</v>
      </c>
      <c r="H13" s="162"/>
    </row>
    <row r="14" spans="1:8" x14ac:dyDescent="0.2">
      <c r="A14" s="188" t="s">
        <v>328</v>
      </c>
      <c r="B14" s="581" t="s">
        <v>905</v>
      </c>
      <c r="C14" s="651">
        <v>1230</v>
      </c>
      <c r="D14" s="649"/>
      <c r="E14" s="650">
        <v>1230</v>
      </c>
      <c r="F14" s="386">
        <f t="shared" si="0"/>
        <v>0</v>
      </c>
      <c r="H14" s="162"/>
    </row>
    <row r="15" spans="1:8" x14ac:dyDescent="0.2">
      <c r="A15" s="188" t="s">
        <v>329</v>
      </c>
      <c r="B15" s="581" t="s">
        <v>906</v>
      </c>
      <c r="C15" s="651">
        <v>615</v>
      </c>
      <c r="D15" s="649"/>
      <c r="E15" s="650">
        <v>615</v>
      </c>
      <c r="F15" s="386">
        <f t="shared" si="0"/>
        <v>0</v>
      </c>
      <c r="H15" s="162"/>
    </row>
    <row r="16" spans="1:8" x14ac:dyDescent="0.2">
      <c r="A16" s="189" t="s">
        <v>330</v>
      </c>
      <c r="B16" s="582" t="s">
        <v>907</v>
      </c>
      <c r="C16" s="652">
        <v>5100</v>
      </c>
      <c r="D16" s="653"/>
      <c r="E16" s="654">
        <v>5100</v>
      </c>
      <c r="F16" s="583">
        <f t="shared" si="0"/>
        <v>0</v>
      </c>
      <c r="H16" s="162"/>
    </row>
    <row r="17" spans="1:6" x14ac:dyDescent="0.2">
      <c r="A17" s="94" t="s">
        <v>448</v>
      </c>
      <c r="B17" s="93"/>
      <c r="C17" s="645">
        <f>SUM(C10:C16)</f>
        <v>14836</v>
      </c>
      <c r="D17" s="646"/>
      <c r="E17" s="640">
        <f>SUM(E10:E16)</f>
        <v>14836</v>
      </c>
      <c r="F17" s="63">
        <f>C17-E17</f>
        <v>0</v>
      </c>
    </row>
    <row r="23" spans="1:6" x14ac:dyDescent="0.2">
      <c r="B23" s="40"/>
    </row>
  </sheetData>
  <mergeCells count="3">
    <mergeCell ref="A1:F1"/>
    <mergeCell ref="A2:F2"/>
    <mergeCell ref="A4:F4"/>
  </mergeCells>
  <printOptions horizontalCentered="1"/>
  <pageMargins left="0.27" right="0.25" top="0.75" bottom="0.75" header="0.3" footer="0.3"/>
  <pageSetup firstPageNumber="27" orientation="portrait" useFirstPageNumber="1" r:id="rId1"/>
  <headerFooter>
    <oddFooter>&amp;L&amp;6&amp;Z&amp;F  &amp;A
&amp;C&amp;6
Page &amp;P&amp;R&amp;6&amp;D  &amp;T</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F47"/>
  <sheetViews>
    <sheetView zoomScale="130" zoomScaleNormal="130" workbookViewId="0">
      <selection activeCell="E29" sqref="E29"/>
    </sheetView>
  </sheetViews>
  <sheetFormatPr defaultRowHeight="12.75" x14ac:dyDescent="0.2"/>
  <cols>
    <col min="1" max="1" width="33.42578125" bestFit="1" customWidth="1"/>
    <col min="2" max="2" width="23.28515625" bestFit="1" customWidth="1"/>
    <col min="3" max="3" width="11.140625" style="425" bestFit="1" customWidth="1"/>
    <col min="4" max="4" width="3.5703125" style="425" customWidth="1"/>
    <col min="5" max="5" width="11.140625" style="425" bestFit="1" customWidth="1"/>
    <col min="6" max="6" width="11.7109375" style="40" bestFit="1" customWidth="1"/>
    <col min="7" max="7" width="2.85546875" customWidth="1"/>
  </cols>
  <sheetData>
    <row r="1" spans="1:6" ht="18" x14ac:dyDescent="0.25">
      <c r="A1" s="878" t="s">
        <v>1241</v>
      </c>
      <c r="B1" s="878"/>
      <c r="C1" s="878"/>
      <c r="D1" s="878"/>
      <c r="E1" s="878"/>
      <c r="F1" s="878"/>
    </row>
    <row r="2" spans="1:6" x14ac:dyDescent="0.2">
      <c r="A2" s="882" t="s">
        <v>607</v>
      </c>
      <c r="B2" s="882"/>
      <c r="C2" s="882"/>
      <c r="D2" s="882"/>
      <c r="E2" s="882"/>
      <c r="F2" s="882"/>
    </row>
    <row r="3" spans="1:6" x14ac:dyDescent="0.2">
      <c r="A3" s="525"/>
      <c r="B3" s="177"/>
      <c r="C3" s="614"/>
      <c r="D3" s="614"/>
      <c r="E3" s="614"/>
      <c r="F3" s="655"/>
    </row>
    <row r="4" spans="1:6" ht="26.45" customHeight="1" x14ac:dyDescent="0.2">
      <c r="A4" s="888" t="s">
        <v>447</v>
      </c>
      <c r="B4" s="908"/>
      <c r="C4" s="908"/>
      <c r="D4" s="908"/>
      <c r="E4" s="908"/>
      <c r="F4" s="909"/>
    </row>
    <row r="5" spans="1:6" x14ac:dyDescent="0.2">
      <c r="A5" s="252"/>
      <c r="B5" s="253"/>
      <c r="C5" s="628"/>
      <c r="D5" s="628"/>
      <c r="E5" s="628"/>
      <c r="F5" s="121"/>
    </row>
    <row r="6" spans="1:6" x14ac:dyDescent="0.2">
      <c r="A6" s="90"/>
      <c r="B6" s="83"/>
      <c r="C6" s="629"/>
      <c r="D6" s="630"/>
      <c r="E6" s="631"/>
      <c r="F6" s="84"/>
    </row>
    <row r="7" spans="1:6" x14ac:dyDescent="0.2">
      <c r="A7" s="91"/>
      <c r="B7" s="85" t="s">
        <v>83</v>
      </c>
      <c r="C7" s="632" t="s">
        <v>80</v>
      </c>
      <c r="D7" s="633"/>
      <c r="E7" s="634" t="s">
        <v>125</v>
      </c>
      <c r="F7" s="86" t="s">
        <v>142</v>
      </c>
    </row>
    <row r="8" spans="1:6" x14ac:dyDescent="0.2">
      <c r="A8" s="289" t="s">
        <v>245</v>
      </c>
      <c r="B8" s="85" t="s">
        <v>146</v>
      </c>
      <c r="C8" s="632" t="s">
        <v>82</v>
      </c>
      <c r="D8" s="633"/>
      <c r="E8" s="634" t="s">
        <v>82</v>
      </c>
      <c r="F8" s="86" t="s">
        <v>145</v>
      </c>
    </row>
    <row r="9" spans="1:6" x14ac:dyDescent="0.2">
      <c r="A9" s="267"/>
      <c r="B9" s="87"/>
      <c r="C9" s="647" t="s">
        <v>67</v>
      </c>
      <c r="D9" s="636"/>
      <c r="E9" s="637" t="s">
        <v>67</v>
      </c>
      <c r="F9" s="88" t="s">
        <v>147</v>
      </c>
    </row>
    <row r="10" spans="1:6" x14ac:dyDescent="0.2">
      <c r="A10" s="189" t="s">
        <v>285</v>
      </c>
      <c r="B10" s="297">
        <v>1420</v>
      </c>
      <c r="C10" s="656"/>
      <c r="D10" s="657"/>
      <c r="E10" s="658"/>
      <c r="F10" s="89"/>
    </row>
    <row r="11" spans="1:6" x14ac:dyDescent="0.2">
      <c r="A11" s="185" t="s">
        <v>887</v>
      </c>
      <c r="B11" s="355" t="s">
        <v>888</v>
      </c>
      <c r="C11" s="656">
        <v>1120</v>
      </c>
      <c r="D11" s="657"/>
      <c r="E11" s="658">
        <v>1120</v>
      </c>
      <c r="F11" s="89">
        <f>SUM(C11-E11)</f>
        <v>0</v>
      </c>
    </row>
    <row r="12" spans="1:6" x14ac:dyDescent="0.2">
      <c r="A12" s="188" t="s">
        <v>280</v>
      </c>
      <c r="B12" s="284" t="s">
        <v>478</v>
      </c>
      <c r="C12" s="656">
        <v>805</v>
      </c>
      <c r="D12" s="657"/>
      <c r="E12" s="658">
        <v>805</v>
      </c>
      <c r="F12" s="89">
        <f>SUM(C12-E12)</f>
        <v>0</v>
      </c>
    </row>
    <row r="13" spans="1:6" x14ac:dyDescent="0.2">
      <c r="A13" s="188" t="s">
        <v>366</v>
      </c>
      <c r="B13" s="284" t="s">
        <v>479</v>
      </c>
      <c r="C13" s="656">
        <v>1215</v>
      </c>
      <c r="D13" s="657"/>
      <c r="E13" s="658">
        <v>1215</v>
      </c>
      <c r="F13" s="89">
        <f>SUM(C13-E13)</f>
        <v>0</v>
      </c>
    </row>
    <row r="14" spans="1:6" x14ac:dyDescent="0.2">
      <c r="A14" s="185"/>
      <c r="B14" s="284"/>
      <c r="C14" s="810">
        <f>SUM(C11:C13)</f>
        <v>3140</v>
      </c>
      <c r="D14" s="657"/>
      <c r="E14" s="658"/>
      <c r="F14" s="89"/>
    </row>
    <row r="15" spans="1:6" x14ac:dyDescent="0.2">
      <c r="A15" s="188"/>
      <c r="B15" s="284"/>
      <c r="C15" s="656"/>
      <c r="D15" s="657"/>
      <c r="E15" s="658"/>
      <c r="F15" s="89"/>
    </row>
    <row r="16" spans="1:6" s="356" customFormat="1" x14ac:dyDescent="0.2">
      <c r="A16" s="460" t="s">
        <v>921</v>
      </c>
      <c r="B16" s="297"/>
      <c r="C16" s="656"/>
      <c r="D16" s="657"/>
      <c r="E16" s="658"/>
      <c r="F16" s="89"/>
    </row>
    <row r="17" spans="1:6" s="356" customFormat="1" x14ac:dyDescent="0.2">
      <c r="A17" s="188" t="s">
        <v>692</v>
      </c>
      <c r="B17" s="284" t="s">
        <v>691</v>
      </c>
      <c r="C17" s="656">
        <v>1710</v>
      </c>
      <c r="D17" s="657"/>
      <c r="E17" s="658">
        <v>1710</v>
      </c>
      <c r="F17" s="89">
        <f>SUM(C17-E17)</f>
        <v>0</v>
      </c>
    </row>
    <row r="18" spans="1:6" s="356" customFormat="1" x14ac:dyDescent="0.2">
      <c r="A18" s="188" t="s">
        <v>172</v>
      </c>
      <c r="B18" s="284" t="s">
        <v>480</v>
      </c>
      <c r="C18" s="656">
        <v>14150</v>
      </c>
      <c r="D18" s="657"/>
      <c r="E18" s="658">
        <v>14150</v>
      </c>
      <c r="F18" s="89">
        <f>SUM(C18-E18)</f>
        <v>0</v>
      </c>
    </row>
    <row r="19" spans="1:6" s="356" customFormat="1" x14ac:dyDescent="0.2">
      <c r="A19" s="188" t="s">
        <v>348</v>
      </c>
      <c r="B19" s="284"/>
      <c r="C19" s="656"/>
      <c r="D19" s="657"/>
      <c r="E19" s="658"/>
      <c r="F19" s="89"/>
    </row>
    <row r="20" spans="1:6" s="356" customFormat="1" x14ac:dyDescent="0.2">
      <c r="A20" s="185" t="s">
        <v>1163</v>
      </c>
      <c r="B20" s="355" t="s">
        <v>889</v>
      </c>
      <c r="C20" s="656">
        <v>200000</v>
      </c>
      <c r="D20" s="657"/>
      <c r="E20" s="658">
        <v>150000</v>
      </c>
      <c r="F20" s="89">
        <f>C20-E20</f>
        <v>50000</v>
      </c>
    </row>
    <row r="21" spans="1:6" s="395" customFormat="1" x14ac:dyDescent="0.2">
      <c r="A21" s="185"/>
      <c r="B21" s="355"/>
      <c r="C21" s="656"/>
      <c r="D21" s="657"/>
      <c r="E21" s="658"/>
      <c r="F21" s="89"/>
    </row>
    <row r="22" spans="1:6" s="395" customFormat="1" x14ac:dyDescent="0.2">
      <c r="A22" s="185" t="s">
        <v>1204</v>
      </c>
      <c r="B22" s="355" t="s">
        <v>1205</v>
      </c>
      <c r="C22" s="656">
        <v>2800</v>
      </c>
      <c r="D22" s="657"/>
      <c r="E22" s="658">
        <v>2800</v>
      </c>
      <c r="F22" s="89">
        <f>C22-E22</f>
        <v>0</v>
      </c>
    </row>
    <row r="23" spans="1:6" s="395" customFormat="1" x14ac:dyDescent="0.2">
      <c r="A23" s="188"/>
      <c r="B23" s="284"/>
      <c r="C23" s="656"/>
      <c r="D23" s="657"/>
      <c r="E23" s="658"/>
      <c r="F23" s="89"/>
    </row>
    <row r="24" spans="1:6" s="395" customFormat="1" x14ac:dyDescent="0.2">
      <c r="A24" s="596" t="s">
        <v>916</v>
      </c>
      <c r="B24" s="284" t="s">
        <v>481</v>
      </c>
      <c r="C24" s="656">
        <v>14875</v>
      </c>
      <c r="D24" s="657"/>
      <c r="E24" s="658">
        <v>14875</v>
      </c>
      <c r="F24" s="89">
        <f>SUM(C24-E24)</f>
        <v>0</v>
      </c>
    </row>
    <row r="25" spans="1:6" s="395" customFormat="1" x14ac:dyDescent="0.2">
      <c r="A25" s="49"/>
      <c r="B25" s="470"/>
      <c r="C25" s="659"/>
      <c r="D25" s="657"/>
      <c r="E25" s="644"/>
      <c r="F25" s="292"/>
    </row>
    <row r="26" spans="1:6" s="395" customFormat="1" x14ac:dyDescent="0.2">
      <c r="A26" s="107" t="s">
        <v>452</v>
      </c>
      <c r="B26" s="162"/>
      <c r="C26" s="660">
        <f>SUM(C14:C25)</f>
        <v>236675</v>
      </c>
      <c r="D26" s="657"/>
      <c r="E26" s="661">
        <f>SUM(E10:E25)</f>
        <v>186675</v>
      </c>
      <c r="F26" s="298">
        <f>SUM(C26-E26)</f>
        <v>50000</v>
      </c>
    </row>
    <row r="27" spans="1:6" s="395" customFormat="1" x14ac:dyDescent="0.2">
      <c r="A27"/>
      <c r="B27"/>
      <c r="C27" s="425"/>
      <c r="D27" s="662"/>
      <c r="E27" s="646"/>
      <c r="F27" s="40"/>
    </row>
    <row r="28" spans="1:6" s="356" customFormat="1" x14ac:dyDescent="0.2">
      <c r="A28"/>
      <c r="B28"/>
      <c r="C28" s="425"/>
      <c r="D28" s="646"/>
      <c r="E28" s="646"/>
      <c r="F28" s="40"/>
    </row>
    <row r="29" spans="1:6" x14ac:dyDescent="0.2">
      <c r="A29" s="387"/>
      <c r="D29" s="663"/>
      <c r="E29" s="646"/>
    </row>
    <row r="30" spans="1:6" x14ac:dyDescent="0.2">
      <c r="A30" s="387"/>
    </row>
    <row r="31" spans="1:6" x14ac:dyDescent="0.2">
      <c r="A31" s="387"/>
    </row>
    <row r="32" spans="1:6" x14ac:dyDescent="0.2">
      <c r="A32" s="387"/>
    </row>
    <row r="33" spans="1:6" x14ac:dyDescent="0.2">
      <c r="A33" s="387"/>
    </row>
    <row r="34" spans="1:6" x14ac:dyDescent="0.2">
      <c r="A34" s="387"/>
    </row>
    <row r="35" spans="1:6" x14ac:dyDescent="0.2">
      <c r="A35" s="387"/>
    </row>
    <row r="36" spans="1:6" x14ac:dyDescent="0.2">
      <c r="A36" s="387"/>
    </row>
    <row r="38" spans="1:6" s="356" customFormat="1" x14ac:dyDescent="0.2">
      <c r="A38"/>
      <c r="B38"/>
      <c r="C38" s="425"/>
      <c r="D38" s="425"/>
      <c r="E38" s="425"/>
      <c r="F38" s="40"/>
    </row>
    <row r="45" spans="1:6" s="356" customFormat="1" x14ac:dyDescent="0.2">
      <c r="A45"/>
      <c r="B45"/>
      <c r="C45" s="425"/>
      <c r="D45" s="425"/>
      <c r="E45" s="425"/>
      <c r="F45" s="40"/>
    </row>
    <row r="46" spans="1:6" s="356" customFormat="1" x14ac:dyDescent="0.2">
      <c r="A46"/>
      <c r="B46"/>
      <c r="C46" s="425"/>
      <c r="D46" s="425"/>
      <c r="E46" s="425"/>
      <c r="F46" s="40"/>
    </row>
    <row r="47" spans="1:6" s="356" customFormat="1" x14ac:dyDescent="0.2">
      <c r="A47"/>
      <c r="B47"/>
      <c r="C47" s="425"/>
      <c r="D47" s="425"/>
      <c r="E47" s="425"/>
      <c r="F47" s="40"/>
    </row>
  </sheetData>
  <mergeCells count="3">
    <mergeCell ref="A1:F1"/>
    <mergeCell ref="A2:F2"/>
    <mergeCell ref="A4:F4"/>
  </mergeCells>
  <printOptions horizontalCentered="1"/>
  <pageMargins left="0.18" right="0.19" top="0.75" bottom="0.75" header="0.3" footer="0.3"/>
  <pageSetup scale="86" firstPageNumber="28" orientation="portrait" useFirstPageNumber="1" r:id="rId1"/>
  <headerFooter>
    <oddFooter>&amp;L&amp;6&amp;Z&amp;F   &amp;A&amp;C&amp;8        Page &amp;P&amp;R&amp;6&amp;D  &amp;T</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F32"/>
  <sheetViews>
    <sheetView workbookViewId="0">
      <selection activeCell="A2" sqref="A2:F2"/>
    </sheetView>
  </sheetViews>
  <sheetFormatPr defaultRowHeight="12.75" x14ac:dyDescent="0.2"/>
  <cols>
    <col min="1" max="1" width="32" customWidth="1"/>
    <col min="2" max="2" width="22.7109375" bestFit="1" customWidth="1"/>
    <col min="3" max="3" width="10.7109375" bestFit="1" customWidth="1"/>
    <col min="4" max="4" width="3.5703125" customWidth="1"/>
    <col min="5" max="5" width="10.7109375" bestFit="1" customWidth="1"/>
    <col min="6" max="6" width="11.42578125" bestFit="1" customWidth="1"/>
  </cols>
  <sheetData>
    <row r="1" spans="1:6" ht="18" x14ac:dyDescent="0.25">
      <c r="A1" s="878" t="s">
        <v>1307</v>
      </c>
      <c r="B1" s="878"/>
      <c r="C1" s="878"/>
      <c r="D1" s="878"/>
      <c r="E1" s="878"/>
      <c r="F1" s="878"/>
    </row>
    <row r="2" spans="1:6" x14ac:dyDescent="0.2">
      <c r="A2" s="882" t="s">
        <v>604</v>
      </c>
      <c r="B2" s="882"/>
      <c r="C2" s="882"/>
      <c r="D2" s="882"/>
      <c r="E2" s="882"/>
      <c r="F2" s="882"/>
    </row>
    <row r="3" spans="1:6" x14ac:dyDescent="0.2">
      <c r="A3" s="525"/>
      <c r="B3" s="177"/>
      <c r="C3" s="177"/>
      <c r="D3" s="177"/>
      <c r="E3" s="177"/>
      <c r="F3" s="177"/>
    </row>
    <row r="4" spans="1:6" ht="26.45" customHeight="1" x14ac:dyDescent="0.2">
      <c r="A4" s="888" t="s">
        <v>447</v>
      </c>
      <c r="B4" s="908"/>
      <c r="C4" s="908"/>
      <c r="D4" s="908"/>
      <c r="E4" s="908"/>
      <c r="F4" s="909"/>
    </row>
    <row r="5" spans="1:6" x14ac:dyDescent="0.2">
      <c r="A5" s="252"/>
      <c r="B5" s="253"/>
      <c r="C5" s="129"/>
      <c r="D5" s="129"/>
      <c r="E5" s="129"/>
      <c r="F5" s="129"/>
    </row>
    <row r="6" spans="1:6" x14ac:dyDescent="0.2">
      <c r="A6" s="482"/>
      <c r="B6" s="433"/>
      <c r="C6" s="435"/>
      <c r="D6" s="83"/>
      <c r="E6" s="84"/>
      <c r="F6" s="84"/>
    </row>
    <row r="7" spans="1:6" x14ac:dyDescent="0.2">
      <c r="A7" s="483"/>
      <c r="B7" s="436" t="s">
        <v>83</v>
      </c>
      <c r="C7" s="438" t="s">
        <v>80</v>
      </c>
      <c r="D7" s="85"/>
      <c r="E7" s="86" t="s">
        <v>125</v>
      </c>
      <c r="F7" s="86" t="s">
        <v>142</v>
      </c>
    </row>
    <row r="8" spans="1:6" x14ac:dyDescent="0.2">
      <c r="A8" s="437" t="s">
        <v>245</v>
      </c>
      <c r="B8" s="436" t="s">
        <v>146</v>
      </c>
      <c r="C8" s="438" t="s">
        <v>82</v>
      </c>
      <c r="D8" s="85"/>
      <c r="E8" s="86" t="s">
        <v>82</v>
      </c>
      <c r="F8" s="86" t="s">
        <v>145</v>
      </c>
    </row>
    <row r="9" spans="1:6" x14ac:dyDescent="0.2">
      <c r="A9" s="484"/>
      <c r="B9" s="441"/>
      <c r="C9" s="443" t="s">
        <v>67</v>
      </c>
      <c r="D9" s="87"/>
      <c r="E9" s="88" t="s">
        <v>67</v>
      </c>
      <c r="F9" s="88" t="s">
        <v>147</v>
      </c>
    </row>
    <row r="10" spans="1:6" x14ac:dyDescent="0.2">
      <c r="A10" s="181" t="s">
        <v>323</v>
      </c>
      <c r="B10" s="284" t="s">
        <v>449</v>
      </c>
      <c r="C10" s="309">
        <v>386875</v>
      </c>
      <c r="D10" s="91"/>
      <c r="E10" s="63">
        <v>386875</v>
      </c>
      <c r="F10" s="89">
        <f t="shared" ref="F10:F32" si="0">SUM(C10-E10)</f>
        <v>0</v>
      </c>
    </row>
    <row r="11" spans="1:6" x14ac:dyDescent="0.2">
      <c r="A11" s="181" t="s">
        <v>915</v>
      </c>
      <c r="B11" s="355" t="s">
        <v>914</v>
      </c>
      <c r="C11" s="309">
        <v>7695</v>
      </c>
      <c r="D11" s="91"/>
      <c r="E11" s="63">
        <v>7695</v>
      </c>
      <c r="F11" s="89">
        <f t="shared" si="0"/>
        <v>0</v>
      </c>
    </row>
    <row r="12" spans="1:6" x14ac:dyDescent="0.2">
      <c r="A12" s="181" t="s">
        <v>1206</v>
      </c>
      <c r="B12" s="355" t="s">
        <v>1207</v>
      </c>
      <c r="C12" s="309">
        <v>0</v>
      </c>
      <c r="D12" s="91"/>
      <c r="E12" s="63">
        <v>79160</v>
      </c>
      <c r="F12" s="89">
        <f t="shared" si="0"/>
        <v>-79160</v>
      </c>
    </row>
    <row r="13" spans="1:6" x14ac:dyDescent="0.2">
      <c r="A13" s="181"/>
      <c r="B13" s="284"/>
      <c r="C13" s="309"/>
      <c r="D13" s="91"/>
      <c r="E13" s="63"/>
      <c r="F13" s="89">
        <f t="shared" si="0"/>
        <v>0</v>
      </c>
    </row>
    <row r="14" spans="1:6" x14ac:dyDescent="0.2">
      <c r="A14" s="181"/>
      <c r="B14" s="284"/>
      <c r="C14" s="309"/>
      <c r="D14" s="91"/>
      <c r="E14" s="63"/>
      <c r="F14" s="89">
        <f t="shared" si="0"/>
        <v>0</v>
      </c>
    </row>
    <row r="15" spans="1:6" x14ac:dyDescent="0.2">
      <c r="A15" s="181"/>
      <c r="B15" s="284"/>
      <c r="C15" s="309"/>
      <c r="D15" s="91"/>
      <c r="E15" s="63"/>
      <c r="F15" s="89">
        <f t="shared" si="0"/>
        <v>0</v>
      </c>
    </row>
    <row r="16" spans="1:6" x14ac:dyDescent="0.2">
      <c r="A16" s="181"/>
      <c r="B16" s="284"/>
      <c r="C16" s="309"/>
      <c r="D16" s="91"/>
      <c r="E16" s="63"/>
      <c r="F16" s="89">
        <f t="shared" si="0"/>
        <v>0</v>
      </c>
    </row>
    <row r="17" spans="1:6" x14ac:dyDescent="0.2">
      <c r="A17" s="181"/>
      <c r="B17" s="284"/>
      <c r="C17" s="309"/>
      <c r="D17" s="91"/>
      <c r="E17" s="63"/>
      <c r="F17" s="89">
        <f t="shared" si="0"/>
        <v>0</v>
      </c>
    </row>
    <row r="18" spans="1:6" x14ac:dyDescent="0.2">
      <c r="A18" s="181"/>
      <c r="B18" s="284"/>
      <c r="C18" s="309"/>
      <c r="D18" s="91"/>
      <c r="E18" s="63"/>
      <c r="F18" s="89">
        <f t="shared" si="0"/>
        <v>0</v>
      </c>
    </row>
    <row r="19" spans="1:6" x14ac:dyDescent="0.2">
      <c r="A19" s="181"/>
      <c r="B19" s="284"/>
      <c r="C19" s="309"/>
      <c r="D19" s="91"/>
      <c r="E19" s="63"/>
      <c r="F19" s="89">
        <f t="shared" si="0"/>
        <v>0</v>
      </c>
    </row>
    <row r="20" spans="1:6" x14ac:dyDescent="0.2">
      <c r="A20" s="181"/>
      <c r="B20" s="284"/>
      <c r="C20" s="309"/>
      <c r="D20" s="91"/>
      <c r="E20" s="63"/>
      <c r="F20" s="89">
        <f t="shared" si="0"/>
        <v>0</v>
      </c>
    </row>
    <row r="21" spans="1:6" x14ac:dyDescent="0.2">
      <c r="A21" s="181"/>
      <c r="B21" s="284"/>
      <c r="C21" s="309"/>
      <c r="D21" s="91"/>
      <c r="E21" s="63"/>
      <c r="F21" s="89">
        <f t="shared" si="0"/>
        <v>0</v>
      </c>
    </row>
    <row r="22" spans="1:6" x14ac:dyDescent="0.2">
      <c r="A22" s="181"/>
      <c r="B22" s="284"/>
      <c r="C22" s="309"/>
      <c r="D22" s="91"/>
      <c r="E22" s="63"/>
      <c r="F22" s="89">
        <f t="shared" si="0"/>
        <v>0</v>
      </c>
    </row>
    <row r="23" spans="1:6" x14ac:dyDescent="0.2">
      <c r="A23" s="181"/>
      <c r="B23" s="284"/>
      <c r="C23" s="309"/>
      <c r="D23" s="91"/>
      <c r="E23" s="63"/>
      <c r="F23" s="89">
        <f t="shared" si="0"/>
        <v>0</v>
      </c>
    </row>
    <row r="24" spans="1:6" x14ac:dyDescent="0.2">
      <c r="A24" s="181"/>
      <c r="B24" s="284"/>
      <c r="C24" s="309"/>
      <c r="D24" s="91"/>
      <c r="E24" s="63"/>
      <c r="F24" s="89">
        <f t="shared" si="0"/>
        <v>0</v>
      </c>
    </row>
    <row r="25" spans="1:6" x14ac:dyDescent="0.2">
      <c r="A25" s="181"/>
      <c r="B25" s="284"/>
      <c r="C25" s="309"/>
      <c r="D25" s="91"/>
      <c r="E25" s="63"/>
      <c r="F25" s="89">
        <f t="shared" si="0"/>
        <v>0</v>
      </c>
    </row>
    <row r="26" spans="1:6" x14ac:dyDescent="0.2">
      <c r="A26" s="181"/>
      <c r="B26" s="284"/>
      <c r="C26" s="309"/>
      <c r="D26" s="91"/>
      <c r="E26" s="63"/>
      <c r="F26" s="89">
        <f t="shared" si="0"/>
        <v>0</v>
      </c>
    </row>
    <row r="27" spans="1:6" x14ac:dyDescent="0.2">
      <c r="A27" s="181"/>
      <c r="B27" s="284"/>
      <c r="C27" s="309"/>
      <c r="D27" s="91"/>
      <c r="E27" s="63"/>
      <c r="F27" s="89">
        <f t="shared" si="0"/>
        <v>0</v>
      </c>
    </row>
    <row r="28" spans="1:6" x14ac:dyDescent="0.2">
      <c r="A28" s="181"/>
      <c r="B28" s="284"/>
      <c r="C28" s="309"/>
      <c r="D28" s="91"/>
      <c r="E28" s="63"/>
      <c r="F28" s="89">
        <f t="shared" si="0"/>
        <v>0</v>
      </c>
    </row>
    <row r="29" spans="1:6" x14ac:dyDescent="0.2">
      <c r="A29" s="181"/>
      <c r="B29" s="284"/>
      <c r="C29" s="309"/>
      <c r="D29" s="91"/>
      <c r="E29" s="63"/>
      <c r="F29" s="89">
        <f t="shared" si="0"/>
        <v>0</v>
      </c>
    </row>
    <row r="30" spans="1:6" x14ac:dyDescent="0.2">
      <c r="A30" s="286"/>
      <c r="B30" s="284"/>
      <c r="C30" s="309"/>
      <c r="D30" s="91"/>
      <c r="E30" s="63"/>
      <c r="F30" s="89">
        <f t="shared" si="0"/>
        <v>0</v>
      </c>
    </row>
    <row r="31" spans="1:6" x14ac:dyDescent="0.2">
      <c r="A31" s="461"/>
      <c r="B31" s="489"/>
      <c r="C31" s="485"/>
      <c r="D31" s="267"/>
      <c r="E31" s="291"/>
      <c r="F31" s="292">
        <f t="shared" si="0"/>
        <v>0</v>
      </c>
    </row>
    <row r="32" spans="1:6" x14ac:dyDescent="0.2">
      <c r="A32" s="290" t="s">
        <v>450</v>
      </c>
      <c r="B32" s="204"/>
      <c r="C32" s="309">
        <f>SUM(C10:C31)</f>
        <v>394570</v>
      </c>
      <c r="D32" s="91"/>
      <c r="E32" s="63">
        <f>SUM(E10:E31)</f>
        <v>473730</v>
      </c>
      <c r="F32" s="89">
        <f t="shared" si="0"/>
        <v>-79160</v>
      </c>
    </row>
  </sheetData>
  <mergeCells count="3">
    <mergeCell ref="A1:F1"/>
    <mergeCell ref="A2:F2"/>
    <mergeCell ref="A4:F4"/>
  </mergeCells>
  <printOptions horizontalCentered="1"/>
  <pageMargins left="0.28000000000000003" right="0.25" top="0.75" bottom="0.75" header="0.3" footer="0.3"/>
  <pageSetup firstPageNumber="30" orientation="portrait" useFirstPageNumber="1" r:id="rId1"/>
  <headerFooter>
    <oddFooter>&amp;L&amp;6&amp;Z&amp;F   &amp;A
&amp;C&amp;8
&amp;6Page &amp;P&amp;R&amp;7&amp;D   &amp;T</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U318"/>
  <sheetViews>
    <sheetView zoomScale="145" zoomScaleNormal="145" workbookViewId="0"/>
  </sheetViews>
  <sheetFormatPr defaultRowHeight="12.75" x14ac:dyDescent="0.2"/>
  <cols>
    <col min="1" max="1" width="34.7109375" customWidth="1"/>
    <col min="2" max="2" width="20.28515625" style="294" customWidth="1"/>
    <col min="3" max="3" width="14.42578125" style="40" bestFit="1" customWidth="1"/>
    <col min="4" max="4" width="12.28515625" style="40" bestFit="1" customWidth="1"/>
    <col min="5" max="5" width="12.5703125" style="40" bestFit="1" customWidth="1"/>
    <col min="6" max="6" width="12.42578125" style="40" bestFit="1" customWidth="1"/>
    <col min="7" max="7" width="14.28515625" style="40" bestFit="1" customWidth="1"/>
    <col min="8" max="8" width="2.28515625" customWidth="1"/>
    <col min="9" max="9" width="14.28515625" style="40" customWidth="1"/>
    <col min="10" max="10" width="14" style="40" bestFit="1" customWidth="1"/>
    <col min="11" max="12" width="9.140625" style="175"/>
    <col min="13" max="13" width="10.42578125" style="175" bestFit="1" customWidth="1"/>
    <col min="14" max="21" width="9.140625" style="175"/>
  </cols>
  <sheetData>
    <row r="1" spans="1:21" x14ac:dyDescent="0.2">
      <c r="A1" s="57"/>
      <c r="B1" s="293"/>
      <c r="C1" s="56"/>
      <c r="D1" s="56"/>
      <c r="E1" s="56"/>
      <c r="F1" s="56"/>
      <c r="G1" s="56"/>
      <c r="H1" s="81"/>
      <c r="I1" s="56"/>
      <c r="J1" s="82"/>
    </row>
    <row r="2" spans="1:21" ht="18" x14ac:dyDescent="0.25">
      <c r="A2" s="910" t="s">
        <v>1249</v>
      </c>
      <c r="B2" s="911"/>
      <c r="C2" s="911"/>
      <c r="D2" s="911"/>
      <c r="E2" s="911"/>
      <c r="F2" s="911"/>
      <c r="G2" s="911"/>
      <c r="H2" s="911"/>
      <c r="I2" s="911"/>
      <c r="J2" s="912"/>
    </row>
    <row r="3" spans="1:21" ht="14.25" customHeight="1" x14ac:dyDescent="0.2">
      <c r="A3" s="807"/>
      <c r="B3" s="808"/>
      <c r="C3" s="808"/>
      <c r="D3" s="808"/>
      <c r="E3" s="808"/>
      <c r="F3" s="808"/>
      <c r="G3" s="808"/>
      <c r="H3" s="808"/>
      <c r="I3" s="808"/>
      <c r="J3" s="809"/>
    </row>
    <row r="4" spans="1:21" x14ac:dyDescent="0.2">
      <c r="A4" s="433"/>
      <c r="B4" s="434"/>
      <c r="C4" s="435"/>
      <c r="D4" s="435"/>
      <c r="E4" s="435"/>
      <c r="F4" s="435"/>
      <c r="G4" s="435"/>
      <c r="H4" s="83"/>
      <c r="I4" s="84"/>
      <c r="J4" s="84"/>
    </row>
    <row r="5" spans="1:21" x14ac:dyDescent="0.2">
      <c r="A5" s="436" t="s">
        <v>143</v>
      </c>
      <c r="B5" s="437" t="s">
        <v>83</v>
      </c>
      <c r="C5" s="438" t="s">
        <v>144</v>
      </c>
      <c r="D5" s="439" t="s">
        <v>640</v>
      </c>
      <c r="E5" s="438" t="s">
        <v>18</v>
      </c>
      <c r="F5" s="438" t="s">
        <v>19</v>
      </c>
      <c r="G5" s="438" t="s">
        <v>80</v>
      </c>
      <c r="H5" s="85"/>
      <c r="I5" s="86" t="s">
        <v>125</v>
      </c>
      <c r="J5" s="86" t="s">
        <v>142</v>
      </c>
    </row>
    <row r="6" spans="1:21" x14ac:dyDescent="0.2">
      <c r="A6" s="436"/>
      <c r="B6" s="437" t="s">
        <v>146</v>
      </c>
      <c r="C6" s="438" t="s">
        <v>4</v>
      </c>
      <c r="D6" s="440">
        <v>3420</v>
      </c>
      <c r="E6" s="440">
        <v>3420</v>
      </c>
      <c r="F6" s="439" t="s">
        <v>714</v>
      </c>
      <c r="G6" s="438" t="s">
        <v>82</v>
      </c>
      <c r="H6" s="85"/>
      <c r="I6" s="86" t="s">
        <v>82</v>
      </c>
      <c r="J6" s="86" t="s">
        <v>145</v>
      </c>
    </row>
    <row r="7" spans="1:21" x14ac:dyDescent="0.2">
      <c r="A7" s="441"/>
      <c r="B7" s="442"/>
      <c r="C7" s="443"/>
      <c r="D7" s="444" t="s">
        <v>837</v>
      </c>
      <c r="E7" s="445" t="s">
        <v>836</v>
      </c>
      <c r="F7" s="444" t="s">
        <v>796</v>
      </c>
      <c r="G7" s="443" t="s">
        <v>67</v>
      </c>
      <c r="H7" s="87"/>
      <c r="I7" s="88" t="s">
        <v>67</v>
      </c>
      <c r="J7" s="88" t="s">
        <v>147</v>
      </c>
    </row>
    <row r="8" spans="1:21" x14ac:dyDescent="0.2">
      <c r="A8" s="187" t="s">
        <v>148</v>
      </c>
      <c r="B8" s="296"/>
      <c r="C8" s="182"/>
      <c r="D8" s="182"/>
      <c r="E8" s="182"/>
      <c r="F8" s="182"/>
      <c r="G8" s="182"/>
      <c r="H8" s="91"/>
      <c r="I8" s="63"/>
      <c r="J8" s="89"/>
    </row>
    <row r="9" spans="1:21" s="380" customFormat="1" x14ac:dyDescent="0.2">
      <c r="A9" s="446" t="s">
        <v>1169</v>
      </c>
      <c r="B9" s="447" t="s">
        <v>193</v>
      </c>
      <c r="C9" s="448">
        <v>37570</v>
      </c>
      <c r="D9" s="448"/>
      <c r="E9" s="448"/>
      <c r="F9" s="448"/>
      <c r="G9" s="448">
        <f>SUM(C9:F9)</f>
        <v>37570</v>
      </c>
      <c r="H9" s="419"/>
      <c r="I9" s="420">
        <v>37570</v>
      </c>
      <c r="J9" s="421">
        <f>SUM(G9-I9)</f>
        <v>0</v>
      </c>
      <c r="K9" s="375"/>
      <c r="L9" s="375"/>
      <c r="M9" s="375"/>
      <c r="N9" s="375"/>
      <c r="O9" s="375"/>
      <c r="P9" s="375"/>
      <c r="Q9" s="375"/>
      <c r="R9" s="375"/>
      <c r="S9" s="375"/>
      <c r="T9" s="375"/>
      <c r="U9" s="375"/>
    </row>
    <row r="10" spans="1:21" s="380" customFormat="1" x14ac:dyDescent="0.2">
      <c r="A10" s="446" t="s">
        <v>1170</v>
      </c>
      <c r="B10" s="447" t="s">
        <v>193</v>
      </c>
      <c r="C10" s="448">
        <v>14836</v>
      </c>
      <c r="D10" s="448"/>
      <c r="E10" s="448"/>
      <c r="F10" s="448"/>
      <c r="G10" s="448">
        <f>SUM(C10:F10)</f>
        <v>14836</v>
      </c>
      <c r="H10" s="419"/>
      <c r="I10" s="420">
        <v>14836</v>
      </c>
      <c r="J10" s="421">
        <f>SUM(G10-I10)</f>
        <v>0</v>
      </c>
      <c r="K10" s="375"/>
      <c r="L10" s="375"/>
      <c r="M10" s="375"/>
      <c r="N10" s="375"/>
      <c r="O10" s="375"/>
      <c r="P10" s="375"/>
      <c r="Q10" s="375"/>
      <c r="R10" s="375"/>
      <c r="S10" s="375"/>
      <c r="T10" s="375"/>
      <c r="U10" s="375"/>
    </row>
    <row r="11" spans="1:21" s="380" customFormat="1" x14ac:dyDescent="0.2">
      <c r="A11" s="446"/>
      <c r="B11" s="447"/>
      <c r="C11" s="448"/>
      <c r="D11" s="448"/>
      <c r="E11" s="448"/>
      <c r="F11" s="448"/>
      <c r="G11" s="448"/>
      <c r="H11" s="419"/>
      <c r="I11" s="420"/>
      <c r="J11" s="421"/>
      <c r="K11" s="375"/>
      <c r="L11" s="375"/>
      <c r="M11" s="375"/>
      <c r="N11" s="375"/>
      <c r="O11" s="375"/>
      <c r="P11" s="375"/>
      <c r="Q11" s="375"/>
      <c r="R11" s="375"/>
      <c r="S11" s="375"/>
      <c r="T11" s="375"/>
      <c r="U11" s="375"/>
    </row>
    <row r="12" spans="1:21" s="380" customFormat="1" x14ac:dyDescent="0.2">
      <c r="A12" s="449" t="s">
        <v>149</v>
      </c>
      <c r="B12" s="450">
        <v>1100</v>
      </c>
      <c r="C12" s="448"/>
      <c r="D12" s="448"/>
      <c r="E12" s="448"/>
      <c r="F12" s="448"/>
      <c r="G12" s="448"/>
      <c r="H12" s="419"/>
      <c r="I12" s="420"/>
      <c r="J12" s="421"/>
      <c r="K12" s="375"/>
      <c r="L12" s="375"/>
      <c r="M12" s="375"/>
      <c r="N12" s="375"/>
      <c r="O12" s="375"/>
      <c r="P12" s="375"/>
      <c r="Q12" s="375"/>
      <c r="R12" s="375"/>
      <c r="S12" s="375"/>
      <c r="T12" s="375"/>
      <c r="U12" s="375"/>
    </row>
    <row r="13" spans="1:21" s="380" customFormat="1" x14ac:dyDescent="0.2">
      <c r="A13" s="446" t="s">
        <v>629</v>
      </c>
      <c r="B13" s="447" t="s">
        <v>630</v>
      </c>
      <c r="C13" s="448">
        <v>9500</v>
      </c>
      <c r="D13" s="448"/>
      <c r="E13" s="448"/>
      <c r="F13" s="448"/>
      <c r="G13" s="448">
        <f t="shared" ref="G13:G23" si="0">SUM(C13:F13)</f>
        <v>9500</v>
      </c>
      <c r="H13" s="419"/>
      <c r="I13" s="420">
        <v>9500</v>
      </c>
      <c r="J13" s="421">
        <f>SUM(G13-I13)</f>
        <v>0</v>
      </c>
      <c r="K13" s="375"/>
      <c r="L13" s="375"/>
      <c r="M13" s="375"/>
      <c r="N13" s="375"/>
      <c r="O13" s="375"/>
      <c r="P13" s="375"/>
      <c r="Q13" s="375"/>
      <c r="R13" s="375"/>
      <c r="S13" s="375"/>
      <c r="T13" s="375"/>
      <c r="U13" s="375"/>
    </row>
    <row r="14" spans="1:21" s="380" customFormat="1" x14ac:dyDescent="0.2">
      <c r="A14" s="446" t="s">
        <v>1250</v>
      </c>
      <c r="B14" s="447" t="s">
        <v>459</v>
      </c>
      <c r="C14" s="448">
        <v>4400</v>
      </c>
      <c r="D14" s="448"/>
      <c r="E14" s="448"/>
      <c r="F14" s="448"/>
      <c r="G14" s="448">
        <f t="shared" si="0"/>
        <v>4400</v>
      </c>
      <c r="H14" s="419"/>
      <c r="I14" s="420">
        <v>4400</v>
      </c>
      <c r="J14" s="421">
        <f>SUM(G14-I14)</f>
        <v>0</v>
      </c>
      <c r="K14" s="375"/>
      <c r="L14" s="375"/>
      <c r="M14" s="375"/>
      <c r="N14" s="375"/>
      <c r="O14" s="375"/>
      <c r="P14" s="375"/>
      <c r="Q14" s="375"/>
      <c r="R14" s="375"/>
      <c r="S14" s="375"/>
      <c r="T14" s="375"/>
      <c r="U14" s="375"/>
    </row>
    <row r="15" spans="1:21" s="380" customFormat="1" x14ac:dyDescent="0.2">
      <c r="A15" s="446" t="s">
        <v>1251</v>
      </c>
      <c r="B15" s="447" t="s">
        <v>460</v>
      </c>
      <c r="C15" s="448">
        <v>15730</v>
      </c>
      <c r="D15" s="448"/>
      <c r="E15" s="448"/>
      <c r="F15" s="448"/>
      <c r="G15" s="448">
        <f t="shared" si="0"/>
        <v>15730</v>
      </c>
      <c r="H15" s="419"/>
      <c r="I15" s="420">
        <v>15730</v>
      </c>
      <c r="J15" s="421">
        <f t="shared" ref="J15:J23" si="1">SUM(G15-I15)</f>
        <v>0</v>
      </c>
      <c r="K15" s="375"/>
      <c r="L15" s="375"/>
      <c r="M15" s="375"/>
      <c r="N15" s="375"/>
      <c r="O15" s="375"/>
      <c r="P15" s="375"/>
      <c r="Q15" s="375"/>
      <c r="R15" s="375"/>
      <c r="S15" s="375"/>
      <c r="T15" s="375"/>
      <c r="U15" s="375"/>
    </row>
    <row r="16" spans="1:21" s="380" customFormat="1" ht="38.25" x14ac:dyDescent="0.2">
      <c r="A16" s="451" t="s">
        <v>1252</v>
      </c>
      <c r="B16" s="573" t="s">
        <v>723</v>
      </c>
      <c r="C16" s="574">
        <v>465000</v>
      </c>
      <c r="D16" s="448"/>
      <c r="E16" s="448"/>
      <c r="F16" s="448"/>
      <c r="G16" s="448">
        <f t="shared" si="0"/>
        <v>465000</v>
      </c>
      <c r="H16" s="419"/>
      <c r="I16" s="420">
        <v>465000</v>
      </c>
      <c r="J16" s="421">
        <f t="shared" si="1"/>
        <v>0</v>
      </c>
      <c r="K16" s="375"/>
      <c r="L16" s="375"/>
      <c r="M16" s="375"/>
      <c r="N16" s="375"/>
      <c r="O16" s="375"/>
      <c r="P16" s="375"/>
      <c r="Q16" s="375"/>
      <c r="R16" s="375"/>
      <c r="S16" s="375"/>
      <c r="T16" s="375"/>
      <c r="U16" s="375"/>
    </row>
    <row r="17" spans="1:21" s="380" customFormat="1" ht="25.5" x14ac:dyDescent="0.2">
      <c r="A17" s="451" t="s">
        <v>862</v>
      </c>
      <c r="B17" s="573" t="s">
        <v>723</v>
      </c>
      <c r="C17" s="574">
        <v>190000</v>
      </c>
      <c r="D17" s="574"/>
      <c r="E17" s="574"/>
      <c r="F17" s="574"/>
      <c r="G17" s="448">
        <f t="shared" si="0"/>
        <v>190000</v>
      </c>
      <c r="H17" s="553"/>
      <c r="I17" s="554">
        <v>190000</v>
      </c>
      <c r="J17" s="555">
        <f t="shared" si="1"/>
        <v>0</v>
      </c>
      <c r="K17" s="375"/>
      <c r="L17" s="375"/>
      <c r="M17" s="375"/>
      <c r="N17" s="375"/>
      <c r="O17" s="375"/>
      <c r="P17" s="375"/>
      <c r="Q17" s="375"/>
      <c r="R17" s="375"/>
      <c r="S17" s="375"/>
      <c r="T17" s="375"/>
      <c r="U17" s="375"/>
    </row>
    <row r="18" spans="1:21" s="380" customFormat="1" x14ac:dyDescent="0.2">
      <c r="A18" s="446" t="s">
        <v>458</v>
      </c>
      <c r="B18" s="447" t="s">
        <v>841</v>
      </c>
      <c r="C18" s="448">
        <v>85500</v>
      </c>
      <c r="D18" s="574"/>
      <c r="E18" s="574"/>
      <c r="F18" s="574"/>
      <c r="G18" s="448">
        <f t="shared" si="0"/>
        <v>85500</v>
      </c>
      <c r="H18" s="553"/>
      <c r="I18" s="554">
        <v>85500</v>
      </c>
      <c r="J18" s="555">
        <f t="shared" si="1"/>
        <v>0</v>
      </c>
      <c r="K18" s="375"/>
      <c r="L18" s="375"/>
      <c r="M18" s="375"/>
      <c r="N18" s="375"/>
      <c r="O18" s="375"/>
      <c r="P18" s="375"/>
      <c r="Q18" s="375"/>
      <c r="R18" s="375"/>
      <c r="S18" s="375"/>
      <c r="T18" s="375"/>
      <c r="U18" s="375"/>
    </row>
    <row r="19" spans="1:21" s="380" customFormat="1" x14ac:dyDescent="0.2">
      <c r="A19" s="446" t="s">
        <v>1253</v>
      </c>
      <c r="B19" s="447" t="s">
        <v>1254</v>
      </c>
      <c r="C19" s="448">
        <v>5000</v>
      </c>
      <c r="D19" s="448"/>
      <c r="E19" s="448"/>
      <c r="F19" s="448"/>
      <c r="G19" s="448">
        <f t="shared" si="0"/>
        <v>5000</v>
      </c>
      <c r="H19" s="419"/>
      <c r="I19" s="420">
        <v>0</v>
      </c>
      <c r="J19" s="421">
        <f>SUM(G19-I19)</f>
        <v>5000</v>
      </c>
      <c r="K19" s="375"/>
      <c r="L19" s="375"/>
      <c r="M19" s="375"/>
      <c r="N19" s="375"/>
      <c r="O19" s="375"/>
      <c r="P19" s="375"/>
      <c r="Q19" s="375"/>
      <c r="R19" s="375"/>
      <c r="S19" s="375"/>
      <c r="T19" s="375"/>
      <c r="U19" s="375"/>
    </row>
    <row r="20" spans="1:21" s="380" customFormat="1" ht="25.5" x14ac:dyDescent="0.2">
      <c r="A20" s="451" t="s">
        <v>1255</v>
      </c>
      <c r="B20" s="862" t="s">
        <v>1256</v>
      </c>
      <c r="C20" s="863">
        <f>'[1]STEM Labs'!C28</f>
        <v>42590</v>
      </c>
      <c r="D20" s="448"/>
      <c r="E20" s="448"/>
      <c r="F20" s="448"/>
      <c r="G20" s="448">
        <f t="shared" si="0"/>
        <v>42590</v>
      </c>
      <c r="H20" s="419"/>
      <c r="I20" s="420">
        <v>0</v>
      </c>
      <c r="J20" s="421">
        <f t="shared" si="1"/>
        <v>42590</v>
      </c>
      <c r="K20" s="375"/>
      <c r="L20" s="375"/>
      <c r="M20" s="375"/>
      <c r="N20" s="375"/>
      <c r="O20" s="375"/>
      <c r="P20" s="375"/>
      <c r="Q20" s="375"/>
      <c r="R20" s="375"/>
      <c r="S20" s="375"/>
      <c r="T20" s="375"/>
      <c r="U20" s="375"/>
    </row>
    <row r="21" spans="1:21" s="380" customFormat="1" x14ac:dyDescent="0.2">
      <c r="A21" s="446" t="s">
        <v>150</v>
      </c>
      <c r="B21" s="447" t="s">
        <v>461</v>
      </c>
      <c r="C21" s="448">
        <v>15495</v>
      </c>
      <c r="D21" s="574"/>
      <c r="E21" s="574"/>
      <c r="F21" s="574"/>
      <c r="G21" s="448">
        <f t="shared" si="0"/>
        <v>15495</v>
      </c>
      <c r="H21" s="553"/>
      <c r="I21" s="554">
        <v>15495</v>
      </c>
      <c r="J21" s="555">
        <f t="shared" si="1"/>
        <v>0</v>
      </c>
      <c r="K21" s="375"/>
      <c r="L21" s="375"/>
      <c r="M21" s="375"/>
      <c r="N21" s="375"/>
      <c r="O21" s="375"/>
      <c r="P21" s="375"/>
      <c r="Q21" s="375"/>
      <c r="R21" s="375"/>
      <c r="S21" s="375"/>
      <c r="T21" s="375"/>
      <c r="U21" s="375"/>
    </row>
    <row r="22" spans="1:21" s="380" customFormat="1" ht="12" customHeight="1" x14ac:dyDescent="0.2">
      <c r="A22" s="451" t="s">
        <v>1171</v>
      </c>
      <c r="B22" s="573" t="s">
        <v>462</v>
      </c>
      <c r="C22" s="574">
        <v>12580</v>
      </c>
      <c r="D22" s="448"/>
      <c r="E22" s="448"/>
      <c r="F22" s="448"/>
      <c r="G22" s="448">
        <f t="shared" si="0"/>
        <v>12580</v>
      </c>
      <c r="H22" s="419"/>
      <c r="I22" s="420">
        <v>12580</v>
      </c>
      <c r="J22" s="421">
        <f t="shared" si="1"/>
        <v>0</v>
      </c>
      <c r="K22" s="375"/>
      <c r="L22" s="375"/>
      <c r="M22" s="375"/>
      <c r="N22" s="375"/>
      <c r="O22" s="375"/>
      <c r="P22" s="375"/>
      <c r="Q22" s="375"/>
      <c r="R22" s="375"/>
      <c r="S22" s="375"/>
      <c r="T22" s="375"/>
      <c r="U22" s="375"/>
    </row>
    <row r="23" spans="1:21" x14ac:dyDescent="0.2">
      <c r="A23" s="446" t="s">
        <v>296</v>
      </c>
      <c r="B23" s="447" t="s">
        <v>463</v>
      </c>
      <c r="C23" s="448">
        <v>8455</v>
      </c>
      <c r="D23" s="452"/>
      <c r="E23" s="452"/>
      <c r="F23" s="452"/>
      <c r="G23" s="448">
        <f t="shared" si="0"/>
        <v>8455</v>
      </c>
      <c r="H23" s="91"/>
      <c r="I23" s="420">
        <v>8455</v>
      </c>
      <c r="J23" s="421">
        <f t="shared" si="1"/>
        <v>0</v>
      </c>
    </row>
    <row r="24" spans="1:21" s="395" customFormat="1" x14ac:dyDescent="0.2">
      <c r="A24" s="188"/>
      <c r="B24" s="296"/>
      <c r="C24" s="452"/>
      <c r="D24" s="452"/>
      <c r="E24" s="452"/>
      <c r="F24" s="452"/>
      <c r="G24" s="448"/>
      <c r="H24" s="91"/>
      <c r="I24" s="63"/>
      <c r="J24" s="89"/>
      <c r="K24" s="397"/>
      <c r="L24" s="397"/>
      <c r="M24" s="397"/>
      <c r="N24" s="397"/>
      <c r="O24" s="397"/>
      <c r="P24" s="397"/>
      <c r="Q24" s="397"/>
      <c r="R24" s="397"/>
      <c r="S24" s="397"/>
      <c r="T24" s="397"/>
      <c r="U24" s="397"/>
    </row>
    <row r="25" spans="1:21" x14ac:dyDescent="0.2">
      <c r="A25" s="189" t="s">
        <v>151</v>
      </c>
      <c r="B25" s="453">
        <v>1110</v>
      </c>
      <c r="C25" s="452"/>
      <c r="D25" s="452"/>
      <c r="E25" s="452"/>
      <c r="F25" s="452"/>
      <c r="G25" s="448"/>
      <c r="H25" s="91"/>
      <c r="I25" s="63"/>
      <c r="J25" s="89"/>
    </row>
    <row r="26" spans="1:21" s="380" customFormat="1" x14ac:dyDescent="0.2">
      <c r="A26" s="446" t="s">
        <v>1257</v>
      </c>
      <c r="B26" s="447" t="s">
        <v>1258</v>
      </c>
      <c r="C26" s="448">
        <v>0</v>
      </c>
      <c r="D26" s="448"/>
      <c r="E26" s="448"/>
      <c r="F26" s="448"/>
      <c r="G26" s="448">
        <f t="shared" ref="G26:G34" si="2">SUM(C26:F26)</f>
        <v>0</v>
      </c>
      <c r="H26" s="419"/>
      <c r="I26" s="420">
        <v>4590</v>
      </c>
      <c r="J26" s="421">
        <f>SUM(G26-I26)</f>
        <v>-4590</v>
      </c>
      <c r="K26" s="375"/>
      <c r="L26" s="375"/>
      <c r="M26" s="375"/>
      <c r="N26" s="375"/>
      <c r="O26" s="375"/>
      <c r="P26" s="375"/>
      <c r="Q26" s="375"/>
      <c r="R26" s="375"/>
      <c r="S26" s="375"/>
      <c r="T26" s="375"/>
      <c r="U26" s="375"/>
    </row>
    <row r="27" spans="1:21" s="380" customFormat="1" x14ac:dyDescent="0.2">
      <c r="A27" s="446" t="s">
        <v>413</v>
      </c>
      <c r="B27" s="447" t="s">
        <v>464</v>
      </c>
      <c r="C27" s="448">
        <v>2540</v>
      </c>
      <c r="D27" s="448"/>
      <c r="E27" s="448"/>
      <c r="F27" s="448"/>
      <c r="G27" s="448">
        <f t="shared" si="2"/>
        <v>2540</v>
      </c>
      <c r="H27" s="419"/>
      <c r="I27" s="420">
        <v>2540</v>
      </c>
      <c r="J27" s="421">
        <f t="shared" ref="J27:J34" si="3">SUM(G27-I27)</f>
        <v>0</v>
      </c>
      <c r="K27" s="375"/>
      <c r="L27" s="375"/>
      <c r="M27" s="375"/>
      <c r="N27" s="375"/>
      <c r="O27" s="375"/>
      <c r="P27" s="375"/>
      <c r="Q27" s="375"/>
      <c r="R27" s="375"/>
      <c r="S27" s="375"/>
      <c r="T27" s="375"/>
      <c r="U27" s="375"/>
    </row>
    <row r="28" spans="1:21" s="380" customFormat="1" x14ac:dyDescent="0.2">
      <c r="A28" s="446" t="s">
        <v>155</v>
      </c>
      <c r="B28" s="447" t="s">
        <v>465</v>
      </c>
      <c r="C28" s="448">
        <v>3845</v>
      </c>
      <c r="D28" s="448"/>
      <c r="E28" s="448"/>
      <c r="F28" s="448"/>
      <c r="G28" s="448">
        <f t="shared" si="2"/>
        <v>3845</v>
      </c>
      <c r="H28" s="419"/>
      <c r="I28" s="420">
        <v>3845</v>
      </c>
      <c r="J28" s="421">
        <f t="shared" si="3"/>
        <v>0</v>
      </c>
      <c r="K28" s="375"/>
      <c r="L28" s="375"/>
      <c r="M28" s="375"/>
      <c r="N28" s="375"/>
      <c r="O28" s="375"/>
      <c r="P28" s="375"/>
      <c r="Q28" s="375"/>
      <c r="R28" s="375"/>
      <c r="S28" s="375"/>
      <c r="T28" s="375"/>
      <c r="U28" s="375"/>
    </row>
    <row r="29" spans="1:21" s="380" customFormat="1" x14ac:dyDescent="0.2">
      <c r="A29" s="446" t="s">
        <v>129</v>
      </c>
      <c r="B29" s="447" t="s">
        <v>737</v>
      </c>
      <c r="C29" s="448">
        <v>6300</v>
      </c>
      <c r="D29" s="448"/>
      <c r="E29" s="448"/>
      <c r="F29" s="448"/>
      <c r="G29" s="448">
        <f t="shared" si="2"/>
        <v>6300</v>
      </c>
      <c r="H29" s="419"/>
      <c r="I29" s="420">
        <v>6300</v>
      </c>
      <c r="J29" s="421">
        <f t="shared" si="3"/>
        <v>0</v>
      </c>
      <c r="K29" s="375"/>
      <c r="L29" s="375"/>
      <c r="M29" s="375"/>
      <c r="N29" s="375"/>
      <c r="O29" s="375"/>
      <c r="P29" s="375"/>
      <c r="Q29" s="375"/>
      <c r="R29" s="375"/>
      <c r="S29" s="375"/>
      <c r="T29" s="375"/>
      <c r="U29" s="375"/>
    </row>
    <row r="30" spans="1:21" s="380" customFormat="1" x14ac:dyDescent="0.2">
      <c r="A30" s="446" t="s">
        <v>153</v>
      </c>
      <c r="B30" s="447" t="s">
        <v>466</v>
      </c>
      <c r="C30" s="448">
        <v>37105</v>
      </c>
      <c r="D30" s="448"/>
      <c r="E30" s="448"/>
      <c r="F30" s="448"/>
      <c r="G30" s="448">
        <f t="shared" si="2"/>
        <v>37105</v>
      </c>
      <c r="H30" s="419"/>
      <c r="I30" s="420">
        <v>37105</v>
      </c>
      <c r="J30" s="421">
        <f t="shared" si="3"/>
        <v>0</v>
      </c>
      <c r="K30" s="375"/>
      <c r="L30" s="375"/>
      <c r="M30" s="375"/>
      <c r="N30" s="375"/>
      <c r="O30" s="375"/>
      <c r="P30" s="375"/>
      <c r="Q30" s="375"/>
      <c r="R30" s="375"/>
      <c r="S30" s="375"/>
      <c r="T30" s="375"/>
      <c r="U30" s="375"/>
    </row>
    <row r="31" spans="1:21" s="380" customFormat="1" x14ac:dyDescent="0.2">
      <c r="A31" s="446" t="s">
        <v>726</v>
      </c>
      <c r="B31" s="447" t="s">
        <v>725</v>
      </c>
      <c r="C31" s="448">
        <v>475</v>
      </c>
      <c r="D31" s="448"/>
      <c r="E31" s="448"/>
      <c r="F31" s="448"/>
      <c r="G31" s="448">
        <f t="shared" si="2"/>
        <v>475</v>
      </c>
      <c r="H31" s="419"/>
      <c r="I31" s="420">
        <v>475</v>
      </c>
      <c r="J31" s="421">
        <f t="shared" si="3"/>
        <v>0</v>
      </c>
      <c r="K31" s="375"/>
      <c r="L31" s="375"/>
      <c r="M31" s="375"/>
      <c r="N31" s="375"/>
      <c r="O31" s="375"/>
      <c r="P31" s="375"/>
      <c r="Q31" s="375"/>
      <c r="R31" s="375"/>
      <c r="S31" s="375"/>
      <c r="T31" s="375"/>
      <c r="U31" s="375"/>
    </row>
    <row r="32" spans="1:21" s="380" customFormat="1" x14ac:dyDescent="0.2">
      <c r="A32" s="446" t="s">
        <v>951</v>
      </c>
      <c r="B32" s="447" t="s">
        <v>753</v>
      </c>
      <c r="C32" s="448">
        <v>0</v>
      </c>
      <c r="D32" s="448"/>
      <c r="E32" s="448"/>
      <c r="F32" s="448"/>
      <c r="G32" s="448">
        <f t="shared" si="2"/>
        <v>0</v>
      </c>
      <c r="H32" s="419"/>
      <c r="I32" s="420">
        <v>0</v>
      </c>
      <c r="J32" s="421">
        <f t="shared" si="3"/>
        <v>0</v>
      </c>
      <c r="K32" s="375"/>
      <c r="L32" s="375"/>
      <c r="M32" s="375"/>
      <c r="N32" s="375"/>
      <c r="O32" s="375"/>
      <c r="P32" s="375"/>
      <c r="Q32" s="375"/>
      <c r="R32" s="375"/>
      <c r="S32" s="375"/>
      <c r="T32" s="375"/>
      <c r="U32" s="375"/>
    </row>
    <row r="33" spans="1:21" s="380" customFormat="1" x14ac:dyDescent="0.2">
      <c r="A33" s="446" t="s">
        <v>154</v>
      </c>
      <c r="B33" s="447" t="s">
        <v>467</v>
      </c>
      <c r="C33" s="448">
        <v>82680</v>
      </c>
      <c r="D33" s="448"/>
      <c r="E33" s="448"/>
      <c r="F33" s="448"/>
      <c r="G33" s="448">
        <f t="shared" si="2"/>
        <v>82680</v>
      </c>
      <c r="H33" s="419"/>
      <c r="I33" s="420">
        <v>82680</v>
      </c>
      <c r="J33" s="421">
        <f t="shared" si="3"/>
        <v>0</v>
      </c>
      <c r="K33" s="375"/>
      <c r="L33" s="375"/>
      <c r="M33" s="375"/>
      <c r="N33" s="375"/>
      <c r="O33" s="375"/>
      <c r="P33" s="375"/>
      <c r="Q33" s="375"/>
      <c r="R33" s="375"/>
      <c r="S33" s="375"/>
      <c r="T33" s="375"/>
      <c r="U33" s="375"/>
    </row>
    <row r="34" spans="1:21" x14ac:dyDescent="0.2">
      <c r="A34" s="446" t="s">
        <v>1259</v>
      </c>
      <c r="B34" s="447" t="s">
        <v>468</v>
      </c>
      <c r="C34" s="448">
        <v>5605</v>
      </c>
      <c r="D34" s="452"/>
      <c r="E34" s="452"/>
      <c r="F34" s="452"/>
      <c r="G34" s="448">
        <f t="shared" si="2"/>
        <v>5605</v>
      </c>
      <c r="H34" s="91"/>
      <c r="I34" s="420">
        <v>5605</v>
      </c>
      <c r="J34" s="421">
        <f t="shared" si="3"/>
        <v>0</v>
      </c>
    </row>
    <row r="35" spans="1:21" s="395" customFormat="1" x14ac:dyDescent="0.2">
      <c r="A35" s="188"/>
      <c r="B35" s="296"/>
      <c r="C35" s="452"/>
      <c r="D35" s="452"/>
      <c r="E35" s="452"/>
      <c r="F35" s="452"/>
      <c r="G35" s="448"/>
      <c r="H35" s="91"/>
      <c r="I35" s="63"/>
      <c r="J35" s="89"/>
      <c r="K35" s="397"/>
      <c r="L35" s="397"/>
      <c r="M35" s="397"/>
      <c r="N35" s="397"/>
      <c r="O35" s="397"/>
      <c r="P35" s="397"/>
      <c r="Q35" s="397"/>
      <c r="R35" s="397"/>
      <c r="S35" s="397"/>
      <c r="T35" s="397"/>
      <c r="U35" s="397"/>
    </row>
    <row r="36" spans="1:21" x14ac:dyDescent="0.2">
      <c r="A36" s="189" t="s">
        <v>156</v>
      </c>
      <c r="B36" s="453">
        <v>1120</v>
      </c>
      <c r="C36" s="452"/>
      <c r="D36" s="452"/>
      <c r="E36" s="452"/>
      <c r="F36" s="452"/>
      <c r="G36" s="448"/>
      <c r="H36" s="91"/>
      <c r="I36" s="63"/>
      <c r="J36" s="89"/>
    </row>
    <row r="37" spans="1:21" s="380" customFormat="1" x14ac:dyDescent="0.2">
      <c r="A37" s="446" t="s">
        <v>154</v>
      </c>
      <c r="B37" s="447" t="s">
        <v>684</v>
      </c>
      <c r="C37" s="448">
        <v>13425</v>
      </c>
      <c r="D37" s="448"/>
      <c r="E37" s="448"/>
      <c r="F37" s="448"/>
      <c r="G37" s="448">
        <f>SUM(C37:F37)</f>
        <v>13425</v>
      </c>
      <c r="H37" s="419"/>
      <c r="I37" s="420">
        <v>13425</v>
      </c>
      <c r="J37" s="421">
        <f>SUM(G37-I37)</f>
        <v>0</v>
      </c>
      <c r="K37" s="375"/>
      <c r="L37" s="375"/>
      <c r="M37" s="375"/>
      <c r="N37" s="375"/>
      <c r="O37" s="375"/>
      <c r="P37" s="375"/>
      <c r="Q37" s="375"/>
      <c r="R37" s="375"/>
      <c r="S37" s="375"/>
      <c r="T37" s="375"/>
      <c r="U37" s="375"/>
    </row>
    <row r="38" spans="1:21" x14ac:dyDescent="0.2">
      <c r="A38" s="188"/>
      <c r="B38" s="296"/>
      <c r="C38" s="452"/>
      <c r="D38" s="452"/>
      <c r="E38" s="452"/>
      <c r="F38" s="452"/>
      <c r="G38" s="448"/>
      <c r="H38" s="91"/>
      <c r="I38" s="63"/>
      <c r="J38" s="89"/>
    </row>
    <row r="39" spans="1:21" x14ac:dyDescent="0.2">
      <c r="A39" s="189" t="s">
        <v>157</v>
      </c>
      <c r="B39" s="453">
        <v>1130</v>
      </c>
      <c r="C39" s="452"/>
      <c r="D39" s="452"/>
      <c r="E39" s="452"/>
      <c r="F39" s="452"/>
      <c r="G39" s="448"/>
      <c r="H39" s="91"/>
      <c r="I39" s="63"/>
      <c r="J39" s="89"/>
    </row>
    <row r="40" spans="1:21" s="380" customFormat="1" x14ac:dyDescent="0.2">
      <c r="A40" s="446" t="s">
        <v>154</v>
      </c>
      <c r="B40" s="447" t="s">
        <v>685</v>
      </c>
      <c r="C40" s="448">
        <v>94905</v>
      </c>
      <c r="D40" s="448"/>
      <c r="E40" s="448"/>
      <c r="F40" s="448"/>
      <c r="G40" s="448">
        <f>SUM(C40:F40)</f>
        <v>94905</v>
      </c>
      <c r="H40" s="419"/>
      <c r="I40" s="420">
        <v>94905</v>
      </c>
      <c r="J40" s="421">
        <f>SUM(G40-I40)</f>
        <v>0</v>
      </c>
      <c r="K40" s="375"/>
      <c r="L40" s="375"/>
      <c r="M40" s="375"/>
      <c r="N40" s="375"/>
      <c r="O40" s="375"/>
      <c r="P40" s="375"/>
      <c r="Q40" s="375"/>
      <c r="R40" s="375"/>
      <c r="S40" s="375"/>
      <c r="T40" s="375"/>
      <c r="U40" s="375"/>
    </row>
    <row r="41" spans="1:21" x14ac:dyDescent="0.2">
      <c r="A41" s="188"/>
      <c r="B41" s="296"/>
      <c r="C41" s="452"/>
      <c r="D41" s="452"/>
      <c r="E41" s="452"/>
      <c r="F41" s="452"/>
      <c r="G41" s="448"/>
      <c r="H41" s="91"/>
      <c r="I41" s="63"/>
      <c r="J41" s="89"/>
    </row>
    <row r="42" spans="1:21" x14ac:dyDescent="0.2">
      <c r="A42" s="189" t="s">
        <v>158</v>
      </c>
      <c r="B42" s="453">
        <v>1131</v>
      </c>
      <c r="C42" s="452"/>
      <c r="D42" s="452"/>
      <c r="E42" s="452"/>
      <c r="F42" s="452"/>
      <c r="G42" s="448"/>
      <c r="H42" s="91"/>
      <c r="I42" s="63"/>
      <c r="J42" s="89"/>
    </row>
    <row r="43" spans="1:21" s="380" customFormat="1" x14ac:dyDescent="0.2">
      <c r="A43" s="446" t="s">
        <v>75</v>
      </c>
      <c r="B43" s="447" t="s">
        <v>469</v>
      </c>
      <c r="C43" s="448">
        <v>2905</v>
      </c>
      <c r="D43" s="448">
        <f>Telephone!C57+Telephone!D57</f>
        <v>2373</v>
      </c>
      <c r="E43" s="448"/>
      <c r="F43" s="448"/>
      <c r="G43" s="448">
        <f t="shared" ref="G43:G46" si="4">SUM(C43:F43)</f>
        <v>5278</v>
      </c>
      <c r="H43" s="419"/>
      <c r="I43" s="420">
        <v>5278</v>
      </c>
      <c r="J43" s="421">
        <f>SUM(G43-I43)</f>
        <v>0</v>
      </c>
      <c r="K43" s="375"/>
      <c r="L43" s="375"/>
      <c r="M43" s="375"/>
      <c r="N43" s="375"/>
      <c r="O43" s="375"/>
      <c r="P43" s="375"/>
      <c r="Q43" s="375"/>
      <c r="R43" s="375"/>
      <c r="S43" s="375"/>
      <c r="T43" s="375"/>
      <c r="U43" s="375"/>
    </row>
    <row r="44" spans="1:21" s="380" customFormat="1" x14ac:dyDescent="0.2">
      <c r="A44" s="446" t="s">
        <v>951</v>
      </c>
      <c r="B44" s="447" t="s">
        <v>754</v>
      </c>
      <c r="C44" s="448">
        <v>0</v>
      </c>
      <c r="D44" s="448"/>
      <c r="E44" s="448"/>
      <c r="F44" s="448"/>
      <c r="G44" s="448">
        <f t="shared" si="4"/>
        <v>0</v>
      </c>
      <c r="H44" s="419"/>
      <c r="I44" s="420">
        <v>0</v>
      </c>
      <c r="J44" s="421">
        <f>SUM(G44-I44)</f>
        <v>0</v>
      </c>
      <c r="K44" s="375"/>
      <c r="L44" s="375"/>
      <c r="M44" s="375"/>
      <c r="N44" s="375"/>
      <c r="O44" s="375"/>
      <c r="P44" s="375"/>
      <c r="Q44" s="375"/>
      <c r="R44" s="375"/>
      <c r="S44" s="375"/>
      <c r="T44" s="375"/>
      <c r="U44" s="375"/>
    </row>
    <row r="45" spans="1:21" s="380" customFormat="1" x14ac:dyDescent="0.2">
      <c r="A45" s="446" t="s">
        <v>159</v>
      </c>
      <c r="B45" s="447" t="s">
        <v>470</v>
      </c>
      <c r="C45" s="448">
        <v>13755</v>
      </c>
      <c r="D45" s="448"/>
      <c r="E45" s="448"/>
      <c r="F45" s="448"/>
      <c r="G45" s="448">
        <f t="shared" si="4"/>
        <v>13755</v>
      </c>
      <c r="H45" s="419"/>
      <c r="I45" s="420">
        <v>13755</v>
      </c>
      <c r="J45" s="421">
        <f>SUM(G45-I45)</f>
        <v>0</v>
      </c>
      <c r="K45" s="375"/>
      <c r="L45" s="375"/>
      <c r="M45" s="375"/>
      <c r="N45" s="375"/>
      <c r="O45" s="375"/>
      <c r="P45" s="375"/>
      <c r="Q45" s="375"/>
      <c r="R45" s="375"/>
      <c r="S45" s="375"/>
      <c r="T45" s="375"/>
      <c r="U45" s="375"/>
    </row>
    <row r="46" spans="1:21" s="380" customFormat="1" x14ac:dyDescent="0.2">
      <c r="A46" s="446" t="s">
        <v>816</v>
      </c>
      <c r="B46" s="447" t="s">
        <v>817</v>
      </c>
      <c r="C46" s="448">
        <v>350000</v>
      </c>
      <c r="D46" s="448"/>
      <c r="E46" s="448"/>
      <c r="F46" s="448"/>
      <c r="G46" s="448">
        <f t="shared" si="4"/>
        <v>350000</v>
      </c>
      <c r="H46" s="419"/>
      <c r="I46" s="420">
        <v>350000</v>
      </c>
      <c r="J46" s="421">
        <f>SUM(G46-I46)</f>
        <v>0</v>
      </c>
      <c r="K46" s="375"/>
      <c r="L46" s="375"/>
      <c r="M46" s="375"/>
      <c r="N46" s="375"/>
      <c r="O46" s="375"/>
      <c r="P46" s="375"/>
      <c r="Q46" s="375"/>
      <c r="R46" s="375"/>
      <c r="S46" s="375"/>
      <c r="T46" s="375"/>
      <c r="U46" s="375"/>
    </row>
    <row r="47" spans="1:21" x14ac:dyDescent="0.2">
      <c r="A47" s="188"/>
      <c r="B47" s="296"/>
      <c r="C47" s="452"/>
      <c r="D47" s="452"/>
      <c r="E47" s="452"/>
      <c r="F47" s="452"/>
      <c r="G47" s="448"/>
      <c r="H47" s="91"/>
      <c r="I47" s="63"/>
      <c r="J47" s="89"/>
    </row>
    <row r="48" spans="1:21" x14ac:dyDescent="0.2">
      <c r="A48" s="189" t="s">
        <v>160</v>
      </c>
      <c r="B48" s="453" t="s">
        <v>161</v>
      </c>
      <c r="C48" s="452"/>
      <c r="D48" s="452"/>
      <c r="E48" s="452"/>
      <c r="F48" s="452"/>
      <c r="G48" s="448"/>
      <c r="H48" s="91"/>
      <c r="I48" s="63"/>
      <c r="J48" s="89"/>
    </row>
    <row r="49" spans="1:21" s="380" customFormat="1" x14ac:dyDescent="0.2">
      <c r="A49" s="446" t="s">
        <v>425</v>
      </c>
      <c r="B49" s="447" t="s">
        <v>471</v>
      </c>
      <c r="C49" s="448">
        <f>'[1]Special Prog'!B41</f>
        <v>1500</v>
      </c>
      <c r="D49" s="448"/>
      <c r="E49" s="448"/>
      <c r="F49" s="448"/>
      <c r="G49" s="448">
        <f t="shared" ref="G49:G66" si="5">SUM(C49:F49)</f>
        <v>1500</v>
      </c>
      <c r="H49" s="419"/>
      <c r="I49" s="420">
        <v>900</v>
      </c>
      <c r="J49" s="421">
        <f t="shared" ref="J49:J55" si="6">SUM(G49-I49)</f>
        <v>600</v>
      </c>
      <c r="K49" s="375"/>
      <c r="L49" s="375"/>
      <c r="M49" s="375"/>
      <c r="N49" s="375"/>
      <c r="O49" s="375"/>
      <c r="P49" s="375"/>
      <c r="Q49" s="375"/>
      <c r="R49" s="375"/>
      <c r="S49" s="375"/>
      <c r="T49" s="375"/>
      <c r="U49" s="375"/>
    </row>
    <row r="50" spans="1:21" s="380" customFormat="1" x14ac:dyDescent="0.2">
      <c r="A50" s="446" t="s">
        <v>162</v>
      </c>
      <c r="B50" s="447" t="s">
        <v>472</v>
      </c>
      <c r="C50" s="448">
        <f>'[1]Special Prog'!E41</f>
        <v>750</v>
      </c>
      <c r="D50" s="448"/>
      <c r="E50" s="448"/>
      <c r="F50" s="448"/>
      <c r="G50" s="448">
        <f t="shared" si="5"/>
        <v>750</v>
      </c>
      <c r="H50" s="419"/>
      <c r="I50" s="420">
        <v>750</v>
      </c>
      <c r="J50" s="421">
        <f t="shared" si="6"/>
        <v>0</v>
      </c>
      <c r="K50" s="375"/>
      <c r="L50" s="375"/>
      <c r="M50" s="375"/>
      <c r="N50" s="375"/>
      <c r="O50" s="375"/>
      <c r="P50" s="375"/>
      <c r="Q50" s="375"/>
      <c r="R50" s="375"/>
      <c r="S50" s="375"/>
      <c r="T50" s="375"/>
      <c r="U50" s="375"/>
    </row>
    <row r="51" spans="1:21" s="380" customFormat="1" ht="25.5" x14ac:dyDescent="0.2">
      <c r="A51" s="451" t="s">
        <v>1260</v>
      </c>
      <c r="B51" s="862" t="s">
        <v>1261</v>
      </c>
      <c r="C51" s="863">
        <v>0</v>
      </c>
      <c r="D51" s="863"/>
      <c r="E51" s="448"/>
      <c r="F51" s="448"/>
      <c r="G51" s="448">
        <f t="shared" si="5"/>
        <v>0</v>
      </c>
      <c r="H51" s="419"/>
      <c r="I51" s="864">
        <v>800</v>
      </c>
      <c r="J51" s="421">
        <f t="shared" si="6"/>
        <v>-800</v>
      </c>
      <c r="K51" s="375"/>
      <c r="L51" s="375"/>
      <c r="M51" s="375"/>
      <c r="N51" s="375"/>
      <c r="O51" s="375"/>
      <c r="P51" s="375"/>
      <c r="Q51" s="375"/>
      <c r="R51" s="375"/>
      <c r="S51" s="375"/>
      <c r="T51" s="375"/>
      <c r="U51" s="375"/>
    </row>
    <row r="52" spans="1:21" s="380" customFormat="1" x14ac:dyDescent="0.2">
      <c r="A52" s="446" t="s">
        <v>279</v>
      </c>
      <c r="B52" s="447" t="s">
        <v>473</v>
      </c>
      <c r="C52" s="448">
        <v>5635</v>
      </c>
      <c r="D52" s="448"/>
      <c r="E52" s="448"/>
      <c r="F52" s="448"/>
      <c r="G52" s="448">
        <f t="shared" si="5"/>
        <v>5635</v>
      </c>
      <c r="H52" s="419"/>
      <c r="I52" s="420">
        <v>5635</v>
      </c>
      <c r="J52" s="421">
        <f t="shared" si="6"/>
        <v>0</v>
      </c>
      <c r="K52" s="375"/>
      <c r="L52" s="375"/>
      <c r="M52" s="375"/>
      <c r="N52" s="375"/>
      <c r="O52" s="375"/>
      <c r="P52" s="375"/>
      <c r="Q52" s="375"/>
      <c r="R52" s="375"/>
      <c r="S52" s="375"/>
      <c r="T52" s="375"/>
      <c r="U52" s="375"/>
    </row>
    <row r="53" spans="1:21" s="380" customFormat="1" x14ac:dyDescent="0.2">
      <c r="A53" s="446" t="s">
        <v>277</v>
      </c>
      <c r="B53" s="447" t="s">
        <v>474</v>
      </c>
      <c r="C53" s="448">
        <v>3665</v>
      </c>
      <c r="D53" s="448"/>
      <c r="E53" s="448"/>
      <c r="F53" s="448"/>
      <c r="G53" s="448">
        <f t="shared" si="5"/>
        <v>3665</v>
      </c>
      <c r="H53" s="419"/>
      <c r="I53" s="420">
        <v>3665</v>
      </c>
      <c r="J53" s="421">
        <f t="shared" si="6"/>
        <v>0</v>
      </c>
      <c r="K53" s="375"/>
      <c r="L53" s="375"/>
      <c r="M53" s="375"/>
      <c r="N53" s="375"/>
      <c r="O53" s="375"/>
      <c r="P53" s="375"/>
      <c r="Q53" s="375"/>
      <c r="R53" s="375"/>
      <c r="S53" s="375"/>
      <c r="T53" s="375"/>
      <c r="U53" s="375"/>
    </row>
    <row r="54" spans="1:21" s="380" customFormat="1" x14ac:dyDescent="0.2">
      <c r="A54" s="446" t="s">
        <v>163</v>
      </c>
      <c r="B54" s="447" t="s">
        <v>475</v>
      </c>
      <c r="C54" s="448">
        <v>1970000</v>
      </c>
      <c r="D54" s="448"/>
      <c r="E54" s="448"/>
      <c r="F54" s="448"/>
      <c r="G54" s="448">
        <f t="shared" si="5"/>
        <v>1970000</v>
      </c>
      <c r="H54" s="419"/>
      <c r="I54" s="420">
        <v>1970000</v>
      </c>
      <c r="J54" s="421">
        <f t="shared" si="6"/>
        <v>0</v>
      </c>
      <c r="K54" s="375"/>
      <c r="L54" s="375"/>
      <c r="M54" s="375"/>
      <c r="N54" s="375"/>
      <c r="O54" s="375"/>
      <c r="P54" s="375"/>
      <c r="Q54" s="375"/>
      <c r="R54" s="375"/>
      <c r="S54" s="375"/>
      <c r="T54" s="375"/>
      <c r="U54" s="375"/>
    </row>
    <row r="55" spans="1:21" s="380" customFormat="1" x14ac:dyDescent="0.2">
      <c r="A55" s="446" t="s">
        <v>164</v>
      </c>
      <c r="B55" s="447" t="s">
        <v>1262</v>
      </c>
      <c r="C55" s="448">
        <v>1865</v>
      </c>
      <c r="D55" s="448"/>
      <c r="E55" s="448"/>
      <c r="F55" s="448"/>
      <c r="G55" s="448">
        <f t="shared" si="5"/>
        <v>1865</v>
      </c>
      <c r="H55" s="419"/>
      <c r="I55" s="420">
        <v>1865</v>
      </c>
      <c r="J55" s="421">
        <f t="shared" si="6"/>
        <v>0</v>
      </c>
      <c r="K55" s="375"/>
      <c r="L55" s="375"/>
      <c r="M55" s="375"/>
      <c r="N55" s="375"/>
      <c r="O55" s="375"/>
      <c r="P55" s="375"/>
      <c r="Q55" s="375"/>
      <c r="R55" s="375"/>
      <c r="S55" s="375"/>
      <c r="T55" s="375"/>
      <c r="U55" s="375"/>
    </row>
    <row r="56" spans="1:21" s="380" customFormat="1" x14ac:dyDescent="0.2">
      <c r="A56" s="446" t="s">
        <v>130</v>
      </c>
      <c r="B56" s="447" t="s">
        <v>476</v>
      </c>
      <c r="C56" s="448">
        <v>11150</v>
      </c>
      <c r="D56" s="448"/>
      <c r="E56" s="448"/>
      <c r="F56" s="448"/>
      <c r="G56" s="448">
        <f t="shared" si="5"/>
        <v>11150</v>
      </c>
      <c r="H56" s="419"/>
      <c r="I56" s="420">
        <v>11150</v>
      </c>
      <c r="J56" s="421">
        <f t="shared" ref="J56:J66" si="7">SUM(G56-I56)</f>
        <v>0</v>
      </c>
      <c r="K56" s="375"/>
      <c r="L56" s="375"/>
      <c r="M56" s="375"/>
      <c r="N56" s="375"/>
      <c r="O56" s="375"/>
      <c r="P56" s="375"/>
      <c r="Q56" s="375"/>
      <c r="R56" s="375"/>
      <c r="S56" s="375"/>
      <c r="T56" s="375"/>
      <c r="U56" s="375"/>
    </row>
    <row r="57" spans="1:21" s="380" customFormat="1" x14ac:dyDescent="0.2">
      <c r="A57" s="446" t="s">
        <v>800</v>
      </c>
      <c r="B57" s="447" t="s">
        <v>1263</v>
      </c>
      <c r="C57" s="448">
        <v>14250</v>
      </c>
      <c r="D57" s="448"/>
      <c r="E57" s="448"/>
      <c r="F57" s="448"/>
      <c r="G57" s="448">
        <f t="shared" si="5"/>
        <v>14250</v>
      </c>
      <c r="H57" s="419"/>
      <c r="I57" s="420">
        <v>14250</v>
      </c>
      <c r="J57" s="421">
        <f t="shared" si="7"/>
        <v>0</v>
      </c>
      <c r="K57" s="375"/>
      <c r="L57" s="375"/>
      <c r="M57" s="375"/>
      <c r="N57" s="375"/>
      <c r="O57" s="375"/>
      <c r="P57" s="375"/>
      <c r="Q57" s="375"/>
      <c r="R57" s="375"/>
      <c r="S57" s="375"/>
      <c r="T57" s="375"/>
      <c r="U57" s="375"/>
    </row>
    <row r="58" spans="1:21" s="380" customFormat="1" x14ac:dyDescent="0.2">
      <c r="A58" s="446" t="s">
        <v>741</v>
      </c>
      <c r="B58" s="447" t="s">
        <v>1264</v>
      </c>
      <c r="C58" s="448">
        <v>9500</v>
      </c>
      <c r="D58" s="448"/>
      <c r="E58" s="448"/>
      <c r="F58" s="448"/>
      <c r="G58" s="448">
        <f t="shared" si="5"/>
        <v>9500</v>
      </c>
      <c r="H58" s="419"/>
      <c r="I58" s="420">
        <v>9500</v>
      </c>
      <c r="J58" s="421">
        <f t="shared" si="7"/>
        <v>0</v>
      </c>
      <c r="K58" s="375"/>
      <c r="L58" s="375"/>
      <c r="M58" s="375"/>
      <c r="N58" s="375"/>
      <c r="O58" s="375"/>
      <c r="P58" s="375"/>
      <c r="Q58" s="375"/>
      <c r="R58" s="375"/>
      <c r="S58" s="375"/>
      <c r="T58" s="375"/>
      <c r="U58" s="375"/>
    </row>
    <row r="59" spans="1:21" s="380" customFormat="1" x14ac:dyDescent="0.2">
      <c r="A59" s="446" t="s">
        <v>742</v>
      </c>
      <c r="B59" s="447" t="s">
        <v>1265</v>
      </c>
      <c r="C59" s="448">
        <v>14250</v>
      </c>
      <c r="D59" s="448"/>
      <c r="E59" s="448"/>
      <c r="F59" s="448"/>
      <c r="G59" s="448">
        <f t="shared" si="5"/>
        <v>14250</v>
      </c>
      <c r="H59" s="419"/>
      <c r="I59" s="420">
        <v>14250</v>
      </c>
      <c r="J59" s="421">
        <f t="shared" si="7"/>
        <v>0</v>
      </c>
      <c r="K59" s="375"/>
      <c r="L59" s="375"/>
      <c r="M59" s="375"/>
      <c r="N59" s="375"/>
      <c r="O59" s="375"/>
      <c r="P59" s="375"/>
      <c r="Q59" s="375"/>
      <c r="R59" s="375"/>
      <c r="S59" s="375"/>
      <c r="T59" s="375"/>
      <c r="U59" s="375"/>
    </row>
    <row r="60" spans="1:21" s="380" customFormat="1" x14ac:dyDescent="0.2">
      <c r="A60" s="446" t="s">
        <v>1212</v>
      </c>
      <c r="B60" s="447" t="s">
        <v>1213</v>
      </c>
      <c r="C60" s="448">
        <v>14610</v>
      </c>
      <c r="D60" s="448"/>
      <c r="E60" s="448"/>
      <c r="F60" s="448"/>
      <c r="G60" s="448">
        <f t="shared" si="5"/>
        <v>14610</v>
      </c>
      <c r="H60" s="419"/>
      <c r="I60" s="420">
        <v>14610</v>
      </c>
      <c r="J60" s="421">
        <f t="shared" si="7"/>
        <v>0</v>
      </c>
      <c r="K60" s="375"/>
      <c r="L60" s="375"/>
      <c r="M60" s="375"/>
      <c r="N60" s="375"/>
      <c r="O60" s="375"/>
      <c r="P60" s="375"/>
      <c r="Q60" s="375"/>
      <c r="R60" s="375"/>
      <c r="S60" s="375"/>
      <c r="T60" s="375"/>
      <c r="U60" s="375"/>
    </row>
    <row r="61" spans="1:21" s="380" customFormat="1" x14ac:dyDescent="0.2">
      <c r="A61" s="446" t="s">
        <v>318</v>
      </c>
      <c r="B61" s="447" t="s">
        <v>1266</v>
      </c>
      <c r="C61" s="448">
        <v>0</v>
      </c>
      <c r="D61" s="448">
        <f>[1]Telephone!E58</f>
        <v>450</v>
      </c>
      <c r="E61" s="448"/>
      <c r="F61" s="448"/>
      <c r="G61" s="448">
        <f t="shared" si="5"/>
        <v>450</v>
      </c>
      <c r="H61" s="419"/>
      <c r="I61" s="420">
        <v>450</v>
      </c>
      <c r="J61" s="421">
        <f t="shared" si="7"/>
        <v>0</v>
      </c>
      <c r="K61" s="375"/>
      <c r="L61" s="375"/>
      <c r="M61" s="375"/>
      <c r="N61" s="375"/>
      <c r="O61" s="375"/>
      <c r="P61" s="375"/>
      <c r="Q61" s="375"/>
      <c r="R61" s="375"/>
      <c r="S61" s="375"/>
      <c r="T61" s="375"/>
      <c r="U61" s="375"/>
    </row>
    <row r="62" spans="1:21" s="380" customFormat="1" x14ac:dyDescent="0.2">
      <c r="A62" s="446" t="s">
        <v>944</v>
      </c>
      <c r="B62" s="447" t="s">
        <v>946</v>
      </c>
      <c r="C62" s="448">
        <v>8085</v>
      </c>
      <c r="D62" s="448"/>
      <c r="E62" s="448"/>
      <c r="F62" s="448"/>
      <c r="G62" s="448">
        <f t="shared" si="5"/>
        <v>8085</v>
      </c>
      <c r="H62" s="419"/>
      <c r="I62" s="420">
        <v>8085</v>
      </c>
      <c r="J62" s="421">
        <f t="shared" si="7"/>
        <v>0</v>
      </c>
      <c r="K62" s="375"/>
      <c r="L62" s="375"/>
      <c r="M62" s="375"/>
      <c r="N62" s="375"/>
      <c r="O62" s="375"/>
      <c r="P62" s="375"/>
      <c r="Q62" s="375"/>
      <c r="R62" s="375"/>
      <c r="S62" s="375"/>
      <c r="T62" s="375"/>
      <c r="U62" s="375"/>
    </row>
    <row r="63" spans="1:21" s="380" customFormat="1" x14ac:dyDescent="0.2">
      <c r="A63" s="446" t="s">
        <v>947</v>
      </c>
      <c r="B63" s="447" t="s">
        <v>948</v>
      </c>
      <c r="C63" s="448">
        <v>6235</v>
      </c>
      <c r="D63" s="448"/>
      <c r="E63" s="448"/>
      <c r="F63" s="448"/>
      <c r="G63" s="448">
        <f t="shared" si="5"/>
        <v>6235</v>
      </c>
      <c r="H63" s="419"/>
      <c r="I63" s="420">
        <v>6235</v>
      </c>
      <c r="J63" s="421">
        <f>SUM(G63-I63)</f>
        <v>0</v>
      </c>
      <c r="K63" s="375"/>
      <c r="L63" s="375"/>
      <c r="M63" s="375"/>
      <c r="N63" s="375"/>
      <c r="O63" s="375"/>
      <c r="P63" s="375"/>
      <c r="Q63" s="375"/>
      <c r="R63" s="375"/>
      <c r="S63" s="375"/>
      <c r="T63" s="375"/>
      <c r="U63" s="375"/>
    </row>
    <row r="64" spans="1:21" s="380" customFormat="1" x14ac:dyDescent="0.2">
      <c r="A64" s="446" t="s">
        <v>378</v>
      </c>
      <c r="B64" s="447" t="s">
        <v>945</v>
      </c>
      <c r="C64" s="448">
        <v>15650</v>
      </c>
      <c r="D64" s="454"/>
      <c r="E64" s="448"/>
      <c r="F64" s="448"/>
      <c r="G64" s="448">
        <f t="shared" si="5"/>
        <v>15650</v>
      </c>
      <c r="H64" s="419"/>
      <c r="I64" s="420">
        <v>15650</v>
      </c>
      <c r="J64" s="421">
        <f t="shared" si="7"/>
        <v>0</v>
      </c>
      <c r="K64" s="375"/>
      <c r="L64" s="375"/>
      <c r="M64" s="375"/>
      <c r="N64" s="375"/>
      <c r="O64" s="375"/>
      <c r="P64" s="375"/>
      <c r="Q64" s="375"/>
      <c r="R64" s="375"/>
      <c r="S64" s="375"/>
      <c r="T64" s="375"/>
      <c r="U64" s="375"/>
    </row>
    <row r="65" spans="1:21" s="380" customFormat="1" x14ac:dyDescent="0.2">
      <c r="A65" s="446" t="s">
        <v>165</v>
      </c>
      <c r="B65" s="447" t="s">
        <v>666</v>
      </c>
      <c r="C65" s="448">
        <v>8910</v>
      </c>
      <c r="D65" s="448"/>
      <c r="E65" s="448"/>
      <c r="F65" s="448"/>
      <c r="G65" s="448">
        <f t="shared" si="5"/>
        <v>8910</v>
      </c>
      <c r="H65" s="419"/>
      <c r="I65" s="420">
        <v>8910</v>
      </c>
      <c r="J65" s="421">
        <f t="shared" si="7"/>
        <v>0</v>
      </c>
      <c r="K65" s="375"/>
      <c r="L65" s="375"/>
      <c r="M65" s="375"/>
      <c r="N65" s="375"/>
      <c r="O65" s="375"/>
      <c r="P65" s="375"/>
      <c r="Q65" s="375"/>
      <c r="R65" s="375"/>
      <c r="S65" s="375"/>
      <c r="T65" s="375"/>
      <c r="U65" s="375"/>
    </row>
    <row r="66" spans="1:21" s="380" customFormat="1" x14ac:dyDescent="0.2">
      <c r="A66" s="446" t="s">
        <v>167</v>
      </c>
      <c r="B66" s="447" t="s">
        <v>477</v>
      </c>
      <c r="C66" s="448">
        <v>19470</v>
      </c>
      <c r="D66" s="448"/>
      <c r="E66" s="448"/>
      <c r="F66" s="448"/>
      <c r="G66" s="448">
        <f t="shared" si="5"/>
        <v>19470</v>
      </c>
      <c r="H66" s="419"/>
      <c r="I66" s="420">
        <v>19470</v>
      </c>
      <c r="J66" s="421">
        <f t="shared" si="7"/>
        <v>0</v>
      </c>
      <c r="K66" s="375"/>
      <c r="L66" s="375"/>
      <c r="M66" s="375"/>
      <c r="N66" s="375"/>
      <c r="O66" s="375"/>
      <c r="P66" s="375"/>
      <c r="Q66" s="375"/>
      <c r="R66" s="375"/>
      <c r="S66" s="375"/>
      <c r="T66" s="375"/>
      <c r="U66" s="375"/>
    </row>
    <row r="67" spans="1:21" x14ac:dyDescent="0.2">
      <c r="A67" s="188"/>
      <c r="B67" s="296"/>
      <c r="C67" s="452"/>
      <c r="D67" s="452"/>
      <c r="E67" s="452"/>
      <c r="F67" s="452"/>
      <c r="G67" s="448"/>
      <c r="H67" s="91"/>
      <c r="I67" s="63"/>
      <c r="J67" s="89"/>
    </row>
    <row r="68" spans="1:21" x14ac:dyDescent="0.2">
      <c r="A68" s="189" t="s">
        <v>168</v>
      </c>
      <c r="B68" s="453">
        <v>1420</v>
      </c>
      <c r="C68" s="452"/>
      <c r="D68" s="452"/>
      <c r="E68" s="452"/>
      <c r="F68" s="452"/>
      <c r="G68" s="448"/>
      <c r="H68" s="91"/>
      <c r="I68" s="63"/>
      <c r="J68" s="89"/>
    </row>
    <row r="69" spans="1:21" s="380" customFormat="1" x14ac:dyDescent="0.2">
      <c r="A69" s="446" t="s">
        <v>854</v>
      </c>
      <c r="B69" s="447" t="s">
        <v>453</v>
      </c>
      <c r="C69" s="448">
        <v>3140</v>
      </c>
      <c r="D69" s="448"/>
      <c r="E69" s="448"/>
      <c r="F69" s="448"/>
      <c r="G69" s="448">
        <f>SUM(C69:F69)</f>
        <v>3140</v>
      </c>
      <c r="H69" s="419"/>
      <c r="I69" s="420">
        <v>3140</v>
      </c>
      <c r="J69" s="421">
        <f>SUM(G69-I69)</f>
        <v>0</v>
      </c>
      <c r="K69" s="375"/>
      <c r="L69" s="375"/>
      <c r="M69" s="375"/>
      <c r="N69" s="375"/>
      <c r="O69" s="375"/>
      <c r="P69" s="375"/>
      <c r="Q69" s="375"/>
      <c r="R69" s="375"/>
      <c r="S69" s="375"/>
      <c r="T69" s="375"/>
      <c r="U69" s="375"/>
    </row>
    <row r="70" spans="1:21" x14ac:dyDescent="0.2">
      <c r="A70" s="188"/>
      <c r="B70" s="455"/>
      <c r="C70" s="452"/>
      <c r="D70" s="452"/>
      <c r="E70" s="452"/>
      <c r="F70" s="452"/>
      <c r="G70" s="448"/>
      <c r="H70" s="91"/>
      <c r="I70" s="63"/>
      <c r="J70" s="89"/>
    </row>
    <row r="71" spans="1:21" x14ac:dyDescent="0.2">
      <c r="A71" s="189" t="s">
        <v>171</v>
      </c>
      <c r="B71" s="453">
        <v>1430</v>
      </c>
      <c r="C71" s="452"/>
      <c r="D71" s="452"/>
      <c r="E71" s="452"/>
      <c r="F71" s="452"/>
      <c r="G71" s="448"/>
      <c r="H71" s="91"/>
      <c r="I71" s="63"/>
      <c r="J71" s="89"/>
    </row>
    <row r="72" spans="1:21" s="380" customFormat="1" x14ac:dyDescent="0.2">
      <c r="A72" s="446" t="s">
        <v>855</v>
      </c>
      <c r="B72" s="447" t="s">
        <v>453</v>
      </c>
      <c r="C72" s="448">
        <v>233535</v>
      </c>
      <c r="D72" s="448"/>
      <c r="E72" s="448"/>
      <c r="F72" s="448"/>
      <c r="G72" s="448">
        <f>SUM(C72:F72)</f>
        <v>233535</v>
      </c>
      <c r="H72" s="419"/>
      <c r="I72" s="420">
        <v>183535</v>
      </c>
      <c r="J72" s="421">
        <f>SUM(G72-I72)</f>
        <v>50000</v>
      </c>
      <c r="K72" s="375"/>
      <c r="L72" s="375"/>
      <c r="M72" s="375"/>
      <c r="N72" s="375"/>
      <c r="O72" s="375"/>
      <c r="P72" s="375"/>
      <c r="Q72" s="375"/>
      <c r="R72" s="375"/>
      <c r="S72" s="375"/>
      <c r="T72" s="375"/>
      <c r="U72" s="375"/>
    </row>
    <row r="73" spans="1:21" x14ac:dyDescent="0.2">
      <c r="A73" s="188"/>
      <c r="B73" s="296"/>
      <c r="C73" s="452"/>
      <c r="D73" s="452"/>
      <c r="E73" s="452"/>
      <c r="F73" s="452"/>
      <c r="G73" s="448"/>
      <c r="H73" s="91"/>
      <c r="I73" s="63"/>
      <c r="J73" s="89"/>
    </row>
    <row r="74" spans="1:21" x14ac:dyDescent="0.2">
      <c r="A74" s="456" t="s">
        <v>173</v>
      </c>
      <c r="B74" s="296"/>
      <c r="C74" s="457"/>
      <c r="D74" s="457"/>
      <c r="E74" s="457"/>
      <c r="F74" s="457"/>
      <c r="G74" s="448"/>
      <c r="H74" s="91"/>
      <c r="I74" s="63"/>
      <c r="J74" s="89"/>
    </row>
    <row r="75" spans="1:21" ht="11.25" customHeight="1" x14ac:dyDescent="0.2">
      <c r="A75" s="458"/>
      <c r="B75" s="296"/>
      <c r="C75" s="452"/>
      <c r="D75" s="452"/>
      <c r="E75" s="452"/>
      <c r="F75" s="452"/>
      <c r="G75" s="448"/>
      <c r="H75" s="91"/>
      <c r="I75" s="63"/>
      <c r="J75" s="140"/>
    </row>
    <row r="76" spans="1:21" s="380" customFormat="1" x14ac:dyDescent="0.2">
      <c r="A76" s="446" t="s">
        <v>821</v>
      </c>
      <c r="B76" s="447" t="s">
        <v>699</v>
      </c>
      <c r="C76" s="448">
        <v>2990</v>
      </c>
      <c r="D76" s="448"/>
      <c r="E76" s="448"/>
      <c r="F76" s="448"/>
      <c r="G76" s="448">
        <f t="shared" ref="G76:G82" si="8">SUM(C76:F76)</f>
        <v>2990</v>
      </c>
      <c r="H76" s="419"/>
      <c r="I76" s="420">
        <v>2990</v>
      </c>
      <c r="J76" s="421">
        <f t="shared" ref="J76:J82" si="9">SUM(G76-I76)</f>
        <v>0</v>
      </c>
      <c r="K76" s="375"/>
      <c r="L76" s="375"/>
      <c r="M76" s="375"/>
      <c r="N76" s="375"/>
      <c r="O76" s="375"/>
      <c r="P76" s="375"/>
      <c r="Q76" s="375"/>
      <c r="R76" s="375"/>
      <c r="S76" s="375"/>
      <c r="T76" s="375"/>
      <c r="U76" s="375"/>
    </row>
    <row r="77" spans="1:21" s="380" customFormat="1" x14ac:dyDescent="0.2">
      <c r="A77" s="446" t="s">
        <v>174</v>
      </c>
      <c r="B77" s="447" t="s">
        <v>734</v>
      </c>
      <c r="C77" s="448">
        <v>7275</v>
      </c>
      <c r="D77" s="448"/>
      <c r="E77" s="448"/>
      <c r="F77" s="448"/>
      <c r="G77" s="448">
        <f t="shared" si="8"/>
        <v>7275</v>
      </c>
      <c r="H77" s="419"/>
      <c r="I77" s="420">
        <v>7275</v>
      </c>
      <c r="J77" s="421">
        <f t="shared" si="9"/>
        <v>0</v>
      </c>
      <c r="K77" s="375"/>
      <c r="L77" s="375"/>
      <c r="M77" s="375"/>
      <c r="N77" s="375"/>
      <c r="O77" s="375"/>
      <c r="P77" s="375"/>
      <c r="Q77" s="375"/>
      <c r="R77" s="375"/>
      <c r="S77" s="375"/>
      <c r="T77" s="375"/>
      <c r="U77" s="375"/>
    </row>
    <row r="78" spans="1:21" s="380" customFormat="1" x14ac:dyDescent="0.2">
      <c r="A78" s="446" t="s">
        <v>426</v>
      </c>
      <c r="B78" s="447" t="s">
        <v>828</v>
      </c>
      <c r="C78" s="448">
        <v>1400</v>
      </c>
      <c r="D78" s="448"/>
      <c r="E78" s="448"/>
      <c r="F78" s="448"/>
      <c r="G78" s="448">
        <f t="shared" si="8"/>
        <v>1400</v>
      </c>
      <c r="H78" s="419"/>
      <c r="I78" s="420">
        <v>1500</v>
      </c>
      <c r="J78" s="421">
        <f t="shared" si="9"/>
        <v>-100</v>
      </c>
      <c r="K78" s="375"/>
      <c r="L78" s="375"/>
      <c r="M78" s="375"/>
      <c r="N78" s="375"/>
      <c r="O78" s="375"/>
      <c r="P78" s="375"/>
      <c r="Q78" s="375"/>
      <c r="R78" s="375"/>
      <c r="S78" s="375"/>
      <c r="T78" s="375"/>
      <c r="U78" s="375"/>
    </row>
    <row r="79" spans="1:21" s="380" customFormat="1" x14ac:dyDescent="0.2">
      <c r="A79" s="446" t="s">
        <v>826</v>
      </c>
      <c r="B79" s="447" t="s">
        <v>827</v>
      </c>
      <c r="C79" s="448">
        <v>17514</v>
      </c>
      <c r="D79" s="448"/>
      <c r="E79" s="448"/>
      <c r="F79" s="448"/>
      <c r="G79" s="448">
        <f t="shared" si="8"/>
        <v>17514</v>
      </c>
      <c r="H79" s="419"/>
      <c r="I79" s="420">
        <v>17514</v>
      </c>
      <c r="J79" s="421">
        <f t="shared" si="9"/>
        <v>0</v>
      </c>
      <c r="K79" s="375"/>
      <c r="L79" s="375"/>
      <c r="M79" s="375"/>
      <c r="N79" s="375"/>
      <c r="O79" s="375"/>
      <c r="P79" s="375"/>
      <c r="Q79" s="375"/>
      <c r="R79" s="375"/>
      <c r="S79" s="375"/>
      <c r="T79" s="375"/>
      <c r="U79" s="375"/>
    </row>
    <row r="80" spans="1:21" s="380" customFormat="1" x14ac:dyDescent="0.2">
      <c r="A80" s="446" t="s">
        <v>427</v>
      </c>
      <c r="B80" s="447" t="s">
        <v>482</v>
      </c>
      <c r="C80" s="448">
        <v>1465</v>
      </c>
      <c r="D80" s="448"/>
      <c r="E80" s="448"/>
      <c r="F80" s="448"/>
      <c r="G80" s="448">
        <f t="shared" si="8"/>
        <v>1465</v>
      </c>
      <c r="H80" s="419"/>
      <c r="I80" s="420">
        <v>1465</v>
      </c>
      <c r="J80" s="421">
        <f t="shared" si="9"/>
        <v>0</v>
      </c>
      <c r="K80" s="375"/>
      <c r="L80" s="375"/>
      <c r="M80" s="375"/>
      <c r="N80" s="375"/>
      <c r="O80" s="375"/>
      <c r="P80" s="375"/>
      <c r="Q80" s="375"/>
      <c r="R80" s="375"/>
      <c r="S80" s="375"/>
      <c r="T80" s="375"/>
      <c r="U80" s="375"/>
    </row>
    <row r="81" spans="1:21" s="380" customFormat="1" x14ac:dyDescent="0.2">
      <c r="A81" s="446" t="s">
        <v>175</v>
      </c>
      <c r="B81" s="447" t="s">
        <v>483</v>
      </c>
      <c r="C81" s="448">
        <v>5395</v>
      </c>
      <c r="D81" s="448"/>
      <c r="E81" s="448"/>
      <c r="F81" s="448"/>
      <c r="G81" s="448">
        <f t="shared" si="8"/>
        <v>5395</v>
      </c>
      <c r="H81" s="419"/>
      <c r="I81" s="420">
        <v>5395</v>
      </c>
      <c r="J81" s="421">
        <f t="shared" si="9"/>
        <v>0</v>
      </c>
      <c r="K81" s="375"/>
      <c r="L81" s="375"/>
      <c r="M81" s="375"/>
      <c r="N81" s="375"/>
      <c r="O81" s="375"/>
      <c r="P81" s="375"/>
      <c r="Q81" s="375"/>
      <c r="R81" s="375"/>
      <c r="S81" s="375"/>
      <c r="T81" s="375"/>
      <c r="U81" s="375"/>
    </row>
    <row r="82" spans="1:21" s="380" customFormat="1" x14ac:dyDescent="0.2">
      <c r="A82" s="446" t="s">
        <v>302</v>
      </c>
      <c r="B82" s="447" t="s">
        <v>689</v>
      </c>
      <c r="C82" s="448">
        <v>12480</v>
      </c>
      <c r="D82" s="448"/>
      <c r="E82" s="448"/>
      <c r="F82" s="448"/>
      <c r="G82" s="448">
        <f t="shared" si="8"/>
        <v>12480</v>
      </c>
      <c r="H82" s="419"/>
      <c r="I82" s="420">
        <v>12480</v>
      </c>
      <c r="J82" s="421">
        <f t="shared" si="9"/>
        <v>0</v>
      </c>
      <c r="K82" s="375"/>
      <c r="L82" s="375"/>
      <c r="M82" s="375"/>
      <c r="N82" s="375"/>
      <c r="O82" s="375"/>
      <c r="P82" s="375"/>
      <c r="Q82" s="375"/>
      <c r="R82" s="375"/>
      <c r="S82" s="375"/>
      <c r="T82" s="375"/>
      <c r="U82" s="375"/>
    </row>
    <row r="83" spans="1:21" ht="11.25" customHeight="1" x14ac:dyDescent="0.2">
      <c r="A83" s="285"/>
      <c r="B83" s="296"/>
      <c r="C83" s="409"/>
      <c r="D83" s="409"/>
      <c r="E83" s="409"/>
      <c r="F83" s="409"/>
      <c r="G83" s="448"/>
      <c r="H83" s="91"/>
      <c r="I83" s="63"/>
      <c r="J83" s="89"/>
    </row>
    <row r="84" spans="1:21" x14ac:dyDescent="0.2">
      <c r="A84" s="459" t="s">
        <v>176</v>
      </c>
      <c r="B84" s="453">
        <v>2122</v>
      </c>
      <c r="C84" s="409"/>
      <c r="D84" s="409"/>
      <c r="E84" s="409"/>
      <c r="F84" s="409"/>
      <c r="G84" s="448"/>
      <c r="H84" s="91"/>
      <c r="I84" s="63"/>
      <c r="J84" s="89"/>
    </row>
    <row r="85" spans="1:21" s="380" customFormat="1" x14ac:dyDescent="0.2">
      <c r="A85" s="446" t="s">
        <v>833</v>
      </c>
      <c r="B85" s="447" t="s">
        <v>484</v>
      </c>
      <c r="C85" s="448">
        <v>2925</v>
      </c>
      <c r="D85" s="448">
        <f>Telephone!D47+Telephone!C47</f>
        <v>1100</v>
      </c>
      <c r="E85" s="448"/>
      <c r="F85" s="448"/>
      <c r="G85" s="448">
        <f t="shared" ref="G85:G86" si="10">SUM(C85:F85)</f>
        <v>4025</v>
      </c>
      <c r="H85" s="419"/>
      <c r="I85" s="420">
        <v>4025</v>
      </c>
      <c r="J85" s="421">
        <f>SUM(G85-I85)</f>
        <v>0</v>
      </c>
      <c r="K85" s="375"/>
      <c r="L85" s="375"/>
      <c r="M85" s="375"/>
      <c r="N85" s="375"/>
      <c r="O85" s="375"/>
      <c r="P85" s="375"/>
      <c r="Q85" s="375"/>
      <c r="R85" s="375"/>
      <c r="S85" s="375"/>
      <c r="T85" s="375"/>
      <c r="U85" s="375"/>
    </row>
    <row r="86" spans="1:21" s="380" customFormat="1" ht="11.25" customHeight="1" x14ac:dyDescent="0.2">
      <c r="A86" s="446" t="s">
        <v>822</v>
      </c>
      <c r="B86" s="447" t="s">
        <v>700</v>
      </c>
      <c r="C86" s="448">
        <v>945</v>
      </c>
      <c r="D86" s="448"/>
      <c r="E86" s="448"/>
      <c r="F86" s="448"/>
      <c r="G86" s="448">
        <f t="shared" si="10"/>
        <v>945</v>
      </c>
      <c r="H86" s="419"/>
      <c r="I86" s="420">
        <v>945</v>
      </c>
      <c r="J86" s="421">
        <f>SUM(G86-I86)</f>
        <v>0</v>
      </c>
      <c r="K86" s="375"/>
      <c r="L86" s="375"/>
      <c r="M86" s="375"/>
      <c r="N86" s="375"/>
      <c r="O86" s="375"/>
      <c r="P86" s="375"/>
      <c r="Q86" s="375"/>
      <c r="R86" s="375"/>
      <c r="S86" s="375"/>
      <c r="T86" s="375"/>
      <c r="U86" s="375"/>
    </row>
    <row r="87" spans="1:21" ht="11.25" customHeight="1" x14ac:dyDescent="0.2">
      <c r="A87" s="188"/>
      <c r="B87" s="296"/>
      <c r="C87" s="452"/>
      <c r="D87" s="452"/>
      <c r="E87" s="452"/>
      <c r="F87" s="452"/>
      <c r="G87" s="448"/>
      <c r="H87" s="91"/>
      <c r="I87" s="63"/>
      <c r="J87" s="89"/>
    </row>
    <row r="88" spans="1:21" x14ac:dyDescent="0.2">
      <c r="A88" s="189" t="s">
        <v>177</v>
      </c>
      <c r="B88" s="453">
        <v>2132</v>
      </c>
      <c r="C88" s="452"/>
      <c r="D88" s="452"/>
      <c r="E88" s="452"/>
      <c r="F88" s="452"/>
      <c r="G88" s="448"/>
      <c r="H88" s="91"/>
      <c r="I88" s="63"/>
      <c r="J88" s="89"/>
    </row>
    <row r="89" spans="1:21" s="380" customFormat="1" x14ac:dyDescent="0.2">
      <c r="A89" s="446" t="s">
        <v>178</v>
      </c>
      <c r="B89" s="447" t="s">
        <v>872</v>
      </c>
      <c r="C89" s="448">
        <v>245000</v>
      </c>
      <c r="D89" s="448"/>
      <c r="E89" s="448"/>
      <c r="F89" s="448"/>
      <c r="G89" s="448">
        <f t="shared" ref="G89:G95" si="11">SUM(C89:F89)</f>
        <v>245000</v>
      </c>
      <c r="H89" s="419"/>
      <c r="I89" s="420">
        <v>245000</v>
      </c>
      <c r="J89" s="421">
        <f t="shared" ref="J89:J95" si="12">SUM(G89-I89)</f>
        <v>0</v>
      </c>
      <c r="K89" s="375"/>
      <c r="L89" s="375"/>
      <c r="M89" s="375"/>
      <c r="N89" s="375"/>
      <c r="O89" s="375"/>
      <c r="P89" s="375"/>
      <c r="Q89" s="375"/>
      <c r="R89" s="375"/>
      <c r="S89" s="375"/>
      <c r="T89" s="375"/>
      <c r="U89" s="375"/>
    </row>
    <row r="90" spans="1:21" s="380" customFormat="1" x14ac:dyDescent="0.2">
      <c r="A90" s="446" t="s">
        <v>179</v>
      </c>
      <c r="B90" s="447" t="s">
        <v>485</v>
      </c>
      <c r="C90" s="448">
        <v>14510</v>
      </c>
      <c r="D90" s="448"/>
      <c r="E90" s="448"/>
      <c r="F90" s="448"/>
      <c r="G90" s="448">
        <f t="shared" si="11"/>
        <v>14510</v>
      </c>
      <c r="H90" s="419"/>
      <c r="I90" s="420">
        <v>14510</v>
      </c>
      <c r="J90" s="421">
        <f t="shared" si="12"/>
        <v>0</v>
      </c>
      <c r="K90" s="375"/>
      <c r="L90" s="375"/>
      <c r="M90" s="375"/>
      <c r="N90" s="375"/>
      <c r="O90" s="375"/>
      <c r="P90" s="375"/>
      <c r="Q90" s="375"/>
      <c r="R90" s="375"/>
      <c r="S90" s="375"/>
      <c r="T90" s="375"/>
      <c r="U90" s="375"/>
    </row>
    <row r="91" spans="1:21" s="380" customFormat="1" x14ac:dyDescent="0.2">
      <c r="A91" s="446" t="s">
        <v>180</v>
      </c>
      <c r="B91" s="447" t="s">
        <v>486</v>
      </c>
      <c r="C91" s="448">
        <v>2910</v>
      </c>
      <c r="D91" s="448"/>
      <c r="E91" s="448"/>
      <c r="F91" s="448"/>
      <c r="G91" s="448">
        <f t="shared" si="11"/>
        <v>2910</v>
      </c>
      <c r="H91" s="419"/>
      <c r="I91" s="420">
        <v>2910</v>
      </c>
      <c r="J91" s="421">
        <f t="shared" si="12"/>
        <v>0</v>
      </c>
      <c r="K91" s="375"/>
      <c r="L91" s="375"/>
      <c r="M91" s="375"/>
      <c r="N91" s="375"/>
      <c r="O91" s="375"/>
      <c r="P91" s="375"/>
      <c r="Q91" s="375"/>
      <c r="R91" s="375"/>
      <c r="S91" s="375"/>
      <c r="T91" s="375"/>
      <c r="U91" s="375"/>
    </row>
    <row r="92" spans="1:21" s="380" customFormat="1" x14ac:dyDescent="0.2">
      <c r="A92" s="446" t="s">
        <v>181</v>
      </c>
      <c r="B92" s="447" t="s">
        <v>487</v>
      </c>
      <c r="C92" s="448">
        <v>1685</v>
      </c>
      <c r="D92" s="448"/>
      <c r="E92" s="448"/>
      <c r="F92" s="448"/>
      <c r="G92" s="448">
        <f t="shared" si="11"/>
        <v>1685</v>
      </c>
      <c r="H92" s="419"/>
      <c r="I92" s="420">
        <v>1685</v>
      </c>
      <c r="J92" s="421">
        <f t="shared" si="12"/>
        <v>0</v>
      </c>
      <c r="K92" s="375"/>
      <c r="L92" s="375"/>
      <c r="M92" s="375"/>
      <c r="N92" s="375"/>
      <c r="O92" s="375"/>
      <c r="P92" s="375"/>
      <c r="Q92" s="375"/>
      <c r="R92" s="375"/>
      <c r="S92" s="375"/>
      <c r="T92" s="375"/>
      <c r="U92" s="375"/>
    </row>
    <row r="93" spans="1:21" s="380" customFormat="1" x14ac:dyDescent="0.2">
      <c r="A93" s="446" t="s">
        <v>782</v>
      </c>
      <c r="B93" s="447" t="s">
        <v>779</v>
      </c>
      <c r="C93" s="448">
        <v>8550</v>
      </c>
      <c r="D93" s="448"/>
      <c r="E93" s="448"/>
      <c r="F93" s="448"/>
      <c r="G93" s="448">
        <f t="shared" si="11"/>
        <v>8550</v>
      </c>
      <c r="H93" s="419"/>
      <c r="I93" s="420">
        <v>8550</v>
      </c>
      <c r="J93" s="421">
        <f t="shared" si="12"/>
        <v>0</v>
      </c>
      <c r="K93" s="375"/>
      <c r="L93" s="375"/>
      <c r="M93" s="375"/>
      <c r="N93" s="375"/>
      <c r="O93" s="375"/>
      <c r="P93" s="375"/>
      <c r="Q93" s="375"/>
      <c r="R93" s="375"/>
      <c r="S93" s="375"/>
      <c r="T93" s="375"/>
      <c r="U93" s="375"/>
    </row>
    <row r="94" spans="1:21" s="380" customFormat="1" x14ac:dyDescent="0.2">
      <c r="A94" s="446" t="s">
        <v>182</v>
      </c>
      <c r="B94" s="447" t="s">
        <v>488</v>
      </c>
      <c r="C94" s="448">
        <v>14825</v>
      </c>
      <c r="D94" s="448"/>
      <c r="E94" s="448"/>
      <c r="F94" s="448"/>
      <c r="G94" s="448">
        <f t="shared" si="11"/>
        <v>14825</v>
      </c>
      <c r="H94" s="419"/>
      <c r="I94" s="420">
        <v>14825</v>
      </c>
      <c r="J94" s="421">
        <f t="shared" si="12"/>
        <v>0</v>
      </c>
      <c r="K94" s="375"/>
      <c r="L94" s="375"/>
      <c r="M94" s="422"/>
      <c r="N94" s="375"/>
      <c r="O94" s="375"/>
      <c r="P94" s="375"/>
      <c r="Q94" s="375"/>
      <c r="R94" s="375"/>
      <c r="S94" s="375"/>
      <c r="T94" s="375"/>
      <c r="U94" s="375"/>
    </row>
    <row r="95" spans="1:21" s="380" customFormat="1" x14ac:dyDescent="0.2">
      <c r="A95" s="446" t="s">
        <v>278</v>
      </c>
      <c r="B95" s="447" t="s">
        <v>488</v>
      </c>
      <c r="C95" s="448">
        <v>8355</v>
      </c>
      <c r="D95" s="448"/>
      <c r="E95" s="448"/>
      <c r="F95" s="448"/>
      <c r="G95" s="448">
        <f t="shared" si="11"/>
        <v>8355</v>
      </c>
      <c r="H95" s="419"/>
      <c r="I95" s="420">
        <v>8355</v>
      </c>
      <c r="J95" s="421">
        <f t="shared" si="12"/>
        <v>0</v>
      </c>
      <c r="K95" s="375"/>
      <c r="L95" s="375"/>
      <c r="M95" s="375"/>
      <c r="N95" s="375"/>
      <c r="O95" s="375"/>
      <c r="P95" s="375"/>
      <c r="Q95" s="375"/>
      <c r="R95" s="375"/>
      <c r="S95" s="375"/>
      <c r="T95" s="375"/>
      <c r="U95" s="375"/>
    </row>
    <row r="96" spans="1:21" ht="11.25" customHeight="1" x14ac:dyDescent="0.2">
      <c r="A96" s="188"/>
      <c r="B96" s="296"/>
      <c r="C96" s="452"/>
      <c r="D96" s="452"/>
      <c r="E96" s="452"/>
      <c r="F96" s="452"/>
      <c r="G96" s="448"/>
      <c r="H96" s="91"/>
      <c r="I96" s="63"/>
      <c r="J96" s="89"/>
    </row>
    <row r="97" spans="1:21" x14ac:dyDescent="0.2">
      <c r="A97" s="189" t="s">
        <v>183</v>
      </c>
      <c r="B97" s="453">
        <v>2140</v>
      </c>
      <c r="C97" s="452"/>
      <c r="D97" s="452"/>
      <c r="E97" s="452"/>
      <c r="F97" s="452"/>
      <c r="G97" s="448"/>
      <c r="H97" s="91"/>
      <c r="I97" s="63"/>
      <c r="J97" s="89"/>
    </row>
    <row r="98" spans="1:21" s="380" customFormat="1" x14ac:dyDescent="0.2">
      <c r="A98" s="446" t="s">
        <v>185</v>
      </c>
      <c r="B98" s="447" t="s">
        <v>489</v>
      </c>
      <c r="C98" s="448">
        <v>22330</v>
      </c>
      <c r="D98" s="448"/>
      <c r="E98" s="448"/>
      <c r="F98" s="448"/>
      <c r="G98" s="448">
        <f t="shared" ref="G98:G101" si="13">SUM(C98:F98)</f>
        <v>22330</v>
      </c>
      <c r="H98" s="419"/>
      <c r="I98" s="420">
        <v>22330</v>
      </c>
      <c r="J98" s="421">
        <f>SUM(G98-I98)</f>
        <v>0</v>
      </c>
      <c r="K98" s="375"/>
      <c r="L98" s="375"/>
      <c r="M98" s="375"/>
      <c r="N98" s="375"/>
      <c r="O98" s="375"/>
      <c r="P98" s="375"/>
      <c r="Q98" s="375"/>
      <c r="R98" s="375"/>
      <c r="S98" s="375"/>
      <c r="T98" s="375"/>
      <c r="U98" s="375"/>
    </row>
    <row r="99" spans="1:21" s="380" customFormat="1" x14ac:dyDescent="0.2">
      <c r="A99" s="446" t="s">
        <v>1267</v>
      </c>
      <c r="B99" s="447" t="s">
        <v>1268</v>
      </c>
      <c r="C99" s="448">
        <v>0</v>
      </c>
      <c r="D99" s="448"/>
      <c r="E99" s="448"/>
      <c r="F99" s="448"/>
      <c r="G99" s="448">
        <f t="shared" si="13"/>
        <v>0</v>
      </c>
      <c r="H99" s="419"/>
      <c r="I99" s="420">
        <v>400</v>
      </c>
      <c r="J99" s="421">
        <f>SUM(G99-I99)</f>
        <v>-400</v>
      </c>
      <c r="K99" s="375"/>
      <c r="L99" s="375"/>
      <c r="M99" s="375"/>
      <c r="N99" s="375"/>
      <c r="O99" s="375"/>
      <c r="P99" s="375"/>
      <c r="Q99" s="375"/>
      <c r="R99" s="375"/>
      <c r="S99" s="375"/>
      <c r="T99" s="375"/>
      <c r="U99" s="375"/>
    </row>
    <row r="100" spans="1:21" s="380" customFormat="1" x14ac:dyDescent="0.2">
      <c r="A100" s="446" t="s">
        <v>829</v>
      </c>
      <c r="B100" s="447" t="s">
        <v>755</v>
      </c>
      <c r="C100" s="448">
        <v>900</v>
      </c>
      <c r="D100" s="448"/>
      <c r="E100" s="448"/>
      <c r="F100" s="448"/>
      <c r="G100" s="448">
        <f t="shared" si="13"/>
        <v>900</v>
      </c>
      <c r="H100" s="419"/>
      <c r="I100" s="420">
        <v>900</v>
      </c>
      <c r="J100" s="421">
        <f>SUM(G100-I100)</f>
        <v>0</v>
      </c>
      <c r="K100" s="375"/>
      <c r="L100" s="375"/>
      <c r="M100" s="375"/>
      <c r="N100" s="375"/>
      <c r="O100" s="375"/>
      <c r="P100" s="375"/>
      <c r="Q100" s="375"/>
      <c r="R100" s="375"/>
      <c r="S100" s="375"/>
      <c r="T100" s="375"/>
      <c r="U100" s="375"/>
    </row>
    <row r="101" spans="1:21" s="380" customFormat="1" x14ac:dyDescent="0.2">
      <c r="A101" s="446" t="s">
        <v>184</v>
      </c>
      <c r="B101" s="447" t="s">
        <v>490</v>
      </c>
      <c r="C101" s="448">
        <f>'[1]Special Prog'!M41</f>
        <v>3000</v>
      </c>
      <c r="D101" s="448"/>
      <c r="E101" s="448"/>
      <c r="F101" s="448"/>
      <c r="G101" s="448">
        <f t="shared" si="13"/>
        <v>3000</v>
      </c>
      <c r="H101" s="419"/>
      <c r="I101" s="420">
        <v>3000</v>
      </c>
      <c r="J101" s="421">
        <f>SUM(G101-I101)</f>
        <v>0</v>
      </c>
      <c r="K101" s="375"/>
      <c r="L101" s="375"/>
      <c r="M101" s="375"/>
      <c r="N101" s="375"/>
      <c r="O101" s="375"/>
      <c r="P101" s="375"/>
      <c r="Q101" s="375"/>
      <c r="R101" s="375"/>
      <c r="S101" s="375"/>
      <c r="T101" s="375"/>
      <c r="U101" s="375"/>
    </row>
    <row r="102" spans="1:21" ht="11.25" customHeight="1" x14ac:dyDescent="0.2">
      <c r="A102" s="188"/>
      <c r="B102" s="296"/>
      <c r="C102" s="452"/>
      <c r="D102" s="452"/>
      <c r="E102" s="452"/>
      <c r="F102" s="452"/>
      <c r="G102" s="448"/>
      <c r="H102" s="91"/>
      <c r="I102" s="63"/>
      <c r="J102" s="89"/>
    </row>
    <row r="103" spans="1:21" x14ac:dyDescent="0.2">
      <c r="A103" s="189" t="s">
        <v>186</v>
      </c>
      <c r="B103" s="453">
        <v>2152</v>
      </c>
      <c r="C103" s="452"/>
      <c r="D103" s="452"/>
      <c r="E103" s="452"/>
      <c r="F103" s="452"/>
      <c r="G103" s="448"/>
      <c r="H103" s="91"/>
      <c r="I103" s="63"/>
      <c r="J103" s="89"/>
    </row>
    <row r="104" spans="1:21" s="380" customFormat="1" x14ac:dyDescent="0.2">
      <c r="A104" s="446" t="s">
        <v>187</v>
      </c>
      <c r="B104" s="447" t="s">
        <v>491</v>
      </c>
      <c r="C104" s="448">
        <v>700</v>
      </c>
      <c r="D104" s="448"/>
      <c r="E104" s="448"/>
      <c r="F104" s="448"/>
      <c r="G104" s="448">
        <f>SUM(C104:F104)</f>
        <v>700</v>
      </c>
      <c r="H104" s="419"/>
      <c r="I104" s="420">
        <v>700</v>
      </c>
      <c r="J104" s="421">
        <f>SUM(G104-I104)</f>
        <v>0</v>
      </c>
      <c r="K104" s="375"/>
      <c r="L104" s="375"/>
      <c r="M104" s="375"/>
      <c r="N104" s="375"/>
      <c r="O104" s="375"/>
      <c r="P104" s="375"/>
      <c r="Q104" s="375"/>
      <c r="R104" s="375"/>
      <c r="S104" s="375"/>
      <c r="T104" s="375"/>
      <c r="U104" s="375"/>
    </row>
    <row r="105" spans="1:21" ht="11.25" customHeight="1" x14ac:dyDescent="0.2">
      <c r="A105" s="188"/>
      <c r="B105" s="296"/>
      <c r="C105" s="452"/>
      <c r="D105" s="452"/>
      <c r="E105" s="452"/>
      <c r="F105" s="452"/>
      <c r="G105" s="448"/>
      <c r="H105" s="91"/>
      <c r="I105" s="63"/>
      <c r="J105" s="89"/>
    </row>
    <row r="106" spans="1:21" s="380" customFormat="1" x14ac:dyDescent="0.2">
      <c r="A106" s="189" t="s">
        <v>188</v>
      </c>
      <c r="B106" s="453">
        <v>2153</v>
      </c>
      <c r="C106" s="448"/>
      <c r="D106" s="448"/>
      <c r="E106" s="448"/>
      <c r="F106" s="448"/>
      <c r="G106" s="448"/>
      <c r="H106" s="419"/>
      <c r="I106" s="420"/>
      <c r="J106" s="421"/>
      <c r="K106" s="375"/>
      <c r="L106" s="375"/>
      <c r="M106" s="375"/>
      <c r="N106" s="375"/>
      <c r="O106" s="375"/>
      <c r="P106" s="375"/>
      <c r="Q106" s="375"/>
      <c r="R106" s="375"/>
      <c r="S106" s="375"/>
      <c r="T106" s="375"/>
      <c r="U106" s="375"/>
    </row>
    <row r="107" spans="1:21" s="380" customFormat="1" x14ac:dyDescent="0.2">
      <c r="A107" s="446" t="s">
        <v>1216</v>
      </c>
      <c r="B107" s="447" t="s">
        <v>492</v>
      </c>
      <c r="C107" s="448">
        <v>3665</v>
      </c>
      <c r="D107" s="448"/>
      <c r="E107" s="448"/>
      <c r="F107" s="448"/>
      <c r="G107" s="448">
        <v>3665</v>
      </c>
      <c r="H107" s="419"/>
      <c r="I107" s="420">
        <v>3665</v>
      </c>
      <c r="J107" s="421">
        <f>SUM(G107-I107)</f>
        <v>0</v>
      </c>
      <c r="K107" s="375"/>
      <c r="L107" s="375"/>
      <c r="M107" s="375"/>
      <c r="N107" s="375"/>
      <c r="O107" s="375"/>
      <c r="P107" s="375"/>
      <c r="Q107" s="375"/>
      <c r="R107" s="375"/>
      <c r="S107" s="375"/>
      <c r="T107" s="375"/>
      <c r="U107" s="375"/>
    </row>
    <row r="108" spans="1:21" s="380" customFormat="1" x14ac:dyDescent="0.2">
      <c r="A108" s="446" t="s">
        <v>284</v>
      </c>
      <c r="B108" s="447" t="s">
        <v>493</v>
      </c>
      <c r="C108" s="448">
        <v>2000</v>
      </c>
      <c r="D108" s="448"/>
      <c r="E108" s="448"/>
      <c r="F108" s="448"/>
      <c r="G108" s="448">
        <f t="shared" ref="G108" si="14">SUM(C108:F108)</f>
        <v>2000</v>
      </c>
      <c r="H108" s="419"/>
      <c r="I108" s="420">
        <v>2000</v>
      </c>
      <c r="J108" s="421">
        <f>SUM(G108-I108)</f>
        <v>0</v>
      </c>
      <c r="K108" s="375"/>
      <c r="L108" s="375"/>
      <c r="M108" s="375"/>
      <c r="N108" s="375"/>
      <c r="O108" s="375"/>
      <c r="P108" s="375"/>
      <c r="Q108" s="375"/>
      <c r="R108" s="375"/>
      <c r="S108" s="375"/>
      <c r="T108" s="375"/>
      <c r="U108" s="375"/>
    </row>
    <row r="109" spans="1:21" s="380" customFormat="1" x14ac:dyDescent="0.2">
      <c r="A109" s="446"/>
      <c r="B109" s="447"/>
      <c r="C109" s="448"/>
      <c r="D109" s="448"/>
      <c r="E109" s="448"/>
      <c r="F109" s="448"/>
      <c r="G109" s="448"/>
      <c r="H109" s="419"/>
      <c r="I109" s="420"/>
      <c r="J109" s="421"/>
      <c r="K109" s="375"/>
      <c r="L109" s="375"/>
      <c r="M109" s="375"/>
      <c r="N109" s="375"/>
      <c r="O109" s="375"/>
      <c r="P109" s="375"/>
      <c r="Q109" s="375"/>
      <c r="R109" s="375"/>
      <c r="S109" s="375"/>
      <c r="T109" s="375"/>
      <c r="U109" s="375"/>
    </row>
    <row r="110" spans="1:21" s="380" customFormat="1" x14ac:dyDescent="0.2">
      <c r="A110" s="189" t="s">
        <v>1209</v>
      </c>
      <c r="B110" s="453">
        <v>2171</v>
      </c>
      <c r="C110" s="448"/>
      <c r="D110" s="448"/>
      <c r="E110" s="448"/>
      <c r="F110" s="448"/>
      <c r="G110" s="448"/>
      <c r="H110" s="419"/>
      <c r="I110" s="420"/>
      <c r="J110" s="421"/>
      <c r="K110" s="375"/>
      <c r="L110" s="375"/>
      <c r="M110" s="375"/>
      <c r="N110" s="375"/>
      <c r="O110" s="375"/>
      <c r="P110" s="375"/>
      <c r="Q110" s="375"/>
      <c r="R110" s="375"/>
      <c r="S110" s="375"/>
      <c r="T110" s="375"/>
      <c r="U110" s="375"/>
    </row>
    <row r="111" spans="1:21" s="380" customFormat="1" x14ac:dyDescent="0.2">
      <c r="A111" s="446" t="s">
        <v>810</v>
      </c>
      <c r="B111" s="447" t="s">
        <v>809</v>
      </c>
      <c r="C111" s="448">
        <v>4275</v>
      </c>
      <c r="D111" s="448"/>
      <c r="E111" s="448"/>
      <c r="F111" s="448"/>
      <c r="G111" s="448">
        <f t="shared" ref="G111:G112" si="15">SUM(C111:F111)</f>
        <v>4275</v>
      </c>
      <c r="H111" s="419"/>
      <c r="I111" s="420">
        <v>4275</v>
      </c>
      <c r="J111" s="421">
        <f>SUM(G111-I111)</f>
        <v>0</v>
      </c>
      <c r="K111" s="375"/>
      <c r="L111" s="375"/>
      <c r="M111" s="375"/>
      <c r="N111" s="375"/>
      <c r="O111" s="375"/>
      <c r="P111" s="375"/>
      <c r="Q111" s="375"/>
      <c r="R111" s="375"/>
      <c r="S111" s="375"/>
      <c r="T111" s="375"/>
      <c r="U111" s="375"/>
    </row>
    <row r="112" spans="1:21" s="380" customFormat="1" x14ac:dyDescent="0.2">
      <c r="A112" s="446" t="s">
        <v>189</v>
      </c>
      <c r="B112" s="447" t="s">
        <v>494</v>
      </c>
      <c r="C112" s="448">
        <v>2885</v>
      </c>
      <c r="D112" s="448"/>
      <c r="E112" s="448"/>
      <c r="F112" s="448"/>
      <c r="G112" s="448">
        <f t="shared" si="15"/>
        <v>2885</v>
      </c>
      <c r="H112" s="419"/>
      <c r="I112" s="420">
        <v>2450</v>
      </c>
      <c r="J112" s="421">
        <f>SUM(G112-I112)</f>
        <v>435</v>
      </c>
      <c r="K112" s="375"/>
      <c r="L112" s="375"/>
      <c r="M112" s="375"/>
      <c r="N112" s="375"/>
      <c r="O112" s="375"/>
      <c r="P112" s="375"/>
      <c r="Q112" s="375"/>
      <c r="R112" s="375"/>
      <c r="S112" s="375"/>
      <c r="T112" s="375"/>
      <c r="U112" s="375"/>
    </row>
    <row r="113" spans="1:21" s="380" customFormat="1" x14ac:dyDescent="0.2">
      <c r="A113" s="446"/>
      <c r="B113" s="447"/>
      <c r="C113" s="448"/>
      <c r="D113" s="448"/>
      <c r="E113" s="448"/>
      <c r="F113" s="448"/>
      <c r="G113" s="448"/>
      <c r="H113" s="419"/>
      <c r="I113" s="420"/>
      <c r="J113" s="421"/>
      <c r="K113" s="375"/>
      <c r="L113" s="375"/>
      <c r="M113" s="375"/>
      <c r="N113" s="375"/>
      <c r="O113" s="375"/>
      <c r="P113" s="375"/>
      <c r="Q113" s="375"/>
      <c r="R113" s="375"/>
      <c r="S113" s="375"/>
      <c r="T113" s="375"/>
      <c r="U113" s="375"/>
    </row>
    <row r="114" spans="1:21" s="380" customFormat="1" x14ac:dyDescent="0.2">
      <c r="A114" s="460" t="s">
        <v>1210</v>
      </c>
      <c r="B114" s="453">
        <v>2172</v>
      </c>
      <c r="C114" s="448"/>
      <c r="D114" s="448"/>
      <c r="E114" s="448"/>
      <c r="F114" s="448"/>
      <c r="G114" s="448"/>
      <c r="H114" s="419"/>
      <c r="I114" s="420"/>
      <c r="J114" s="421"/>
      <c r="K114" s="375"/>
      <c r="L114" s="375"/>
      <c r="M114" s="375"/>
      <c r="N114" s="375"/>
      <c r="O114" s="375"/>
      <c r="P114" s="375"/>
      <c r="Q114" s="375"/>
      <c r="R114" s="375"/>
      <c r="S114" s="375"/>
      <c r="T114" s="375"/>
      <c r="U114" s="375"/>
    </row>
    <row r="115" spans="1:21" s="380" customFormat="1" x14ac:dyDescent="0.2">
      <c r="A115" s="446" t="s">
        <v>190</v>
      </c>
      <c r="B115" s="447" t="s">
        <v>495</v>
      </c>
      <c r="C115" s="448">
        <v>750</v>
      </c>
      <c r="D115" s="448"/>
      <c r="E115" s="448"/>
      <c r="F115" s="448"/>
      <c r="G115" s="448">
        <f>SUM(C115:F115)</f>
        <v>750</v>
      </c>
      <c r="H115" s="419"/>
      <c r="I115" s="420">
        <v>750</v>
      </c>
      <c r="J115" s="421">
        <f>SUM(G115-I115)</f>
        <v>0</v>
      </c>
      <c r="K115" s="375"/>
      <c r="L115" s="375"/>
      <c r="M115" s="375"/>
      <c r="N115" s="375"/>
      <c r="O115" s="375"/>
      <c r="P115" s="375"/>
      <c r="Q115" s="375"/>
      <c r="R115" s="375"/>
      <c r="S115" s="375"/>
      <c r="T115" s="375"/>
      <c r="U115" s="375"/>
    </row>
    <row r="116" spans="1:21" x14ac:dyDescent="0.2">
      <c r="A116" s="188"/>
      <c r="B116" s="296"/>
      <c r="C116" s="452"/>
      <c r="D116" s="452"/>
      <c r="E116" s="452"/>
      <c r="F116" s="452"/>
      <c r="G116" s="448"/>
      <c r="H116" s="91"/>
      <c r="I116" s="63"/>
      <c r="J116" s="89"/>
    </row>
    <row r="117" spans="1:21" x14ac:dyDescent="0.2">
      <c r="A117" s="189" t="s">
        <v>192</v>
      </c>
      <c r="B117" s="453" t="s">
        <v>193</v>
      </c>
      <c r="C117" s="452"/>
      <c r="D117" s="452"/>
      <c r="E117" s="452"/>
      <c r="F117" s="452"/>
      <c r="G117" s="448"/>
      <c r="H117" s="91"/>
      <c r="I117" s="63"/>
      <c r="J117" s="89"/>
    </row>
    <row r="118" spans="1:21" s="380" customFormat="1" x14ac:dyDescent="0.2">
      <c r="A118" s="446" t="s">
        <v>1269</v>
      </c>
      <c r="B118" s="447" t="s">
        <v>1270</v>
      </c>
      <c r="C118" s="448">
        <v>55470</v>
      </c>
      <c r="D118" s="448"/>
      <c r="E118" s="375"/>
      <c r="F118" s="448"/>
      <c r="G118" s="448">
        <f t="shared" ref="G118:G120" si="16">SUM(C118:F118)</f>
        <v>55470</v>
      </c>
      <c r="H118" s="419"/>
      <c r="I118" s="420">
        <v>55470</v>
      </c>
      <c r="J118" s="421">
        <f>SUM(G118-I118)</f>
        <v>0</v>
      </c>
      <c r="K118" s="375"/>
      <c r="L118" s="375"/>
      <c r="M118" s="375"/>
      <c r="N118" s="375"/>
      <c r="O118" s="375"/>
      <c r="P118" s="375"/>
      <c r="Q118" s="375"/>
      <c r="R118" s="375"/>
      <c r="S118" s="375"/>
      <c r="T118" s="375"/>
      <c r="U118" s="375"/>
    </row>
    <row r="119" spans="1:21" s="380" customFormat="1" x14ac:dyDescent="0.2">
      <c r="A119" s="446" t="s">
        <v>409</v>
      </c>
      <c r="B119" s="447" t="s">
        <v>496</v>
      </c>
      <c r="C119" s="448">
        <v>32055</v>
      </c>
      <c r="D119" s="448">
        <f>[1]Telephone!E45</f>
        <v>2320</v>
      </c>
      <c r="E119" s="448"/>
      <c r="F119" s="448"/>
      <c r="G119" s="448">
        <f t="shared" si="16"/>
        <v>34375</v>
      </c>
      <c r="H119" s="419"/>
      <c r="I119" s="420">
        <v>34375</v>
      </c>
      <c r="J119" s="421">
        <f>SUM(G119-I119)</f>
        <v>0</v>
      </c>
      <c r="K119" s="375"/>
      <c r="L119" s="375"/>
      <c r="M119" s="375"/>
      <c r="N119" s="375"/>
      <c r="O119" s="375"/>
      <c r="P119" s="375"/>
      <c r="Q119" s="375"/>
      <c r="R119" s="375"/>
      <c r="S119" s="375"/>
      <c r="T119" s="375"/>
      <c r="U119" s="375"/>
    </row>
    <row r="120" spans="1:21" s="380" customFormat="1" x14ac:dyDescent="0.2">
      <c r="A120" s="446" t="s">
        <v>131</v>
      </c>
      <c r="B120" s="447" t="s">
        <v>497</v>
      </c>
      <c r="C120" s="448">
        <v>15995</v>
      </c>
      <c r="D120" s="448"/>
      <c r="E120" s="448"/>
      <c r="F120" s="448"/>
      <c r="G120" s="448">
        <f t="shared" si="16"/>
        <v>15995</v>
      </c>
      <c r="H120" s="419"/>
      <c r="I120" s="420">
        <v>15995</v>
      </c>
      <c r="J120" s="421">
        <f>SUM(G120-I120)</f>
        <v>0</v>
      </c>
      <c r="K120" s="375"/>
      <c r="L120" s="375"/>
      <c r="M120" s="375"/>
      <c r="N120" s="375"/>
      <c r="O120" s="375"/>
      <c r="P120" s="375"/>
      <c r="Q120" s="375"/>
      <c r="R120" s="375"/>
      <c r="S120" s="375"/>
      <c r="T120" s="375"/>
      <c r="U120" s="375"/>
    </row>
    <row r="121" spans="1:21" x14ac:dyDescent="0.2">
      <c r="A121" s="185"/>
      <c r="B121" s="296"/>
      <c r="C121" s="462"/>
      <c r="D121" s="462"/>
      <c r="E121" s="452"/>
      <c r="F121" s="452"/>
      <c r="G121" s="448"/>
      <c r="H121" s="91"/>
      <c r="I121" s="63"/>
      <c r="J121" s="89"/>
    </row>
    <row r="122" spans="1:21" x14ac:dyDescent="0.2">
      <c r="A122" s="189" t="s">
        <v>194</v>
      </c>
      <c r="B122" s="453"/>
      <c r="C122" s="452"/>
      <c r="D122" s="452"/>
      <c r="E122" s="452"/>
      <c r="F122" s="452"/>
      <c r="G122" s="448"/>
      <c r="H122" s="91"/>
      <c r="I122" s="63"/>
      <c r="J122" s="89"/>
    </row>
    <row r="123" spans="1:21" s="380" customFormat="1" x14ac:dyDescent="0.2">
      <c r="A123" s="446" t="s">
        <v>358</v>
      </c>
      <c r="B123" s="447" t="s">
        <v>498</v>
      </c>
      <c r="C123" s="448">
        <v>805</v>
      </c>
      <c r="D123" s="448"/>
      <c r="E123" s="448"/>
      <c r="F123" s="448"/>
      <c r="G123" s="448">
        <f t="shared" ref="G123:G128" si="17">SUM(C123:F123)</f>
        <v>805</v>
      </c>
      <c r="H123" s="419"/>
      <c r="I123" s="420">
        <v>805</v>
      </c>
      <c r="J123" s="421">
        <f t="shared" ref="J123:J128" si="18">SUM(G123-I123)</f>
        <v>0</v>
      </c>
      <c r="K123" s="375"/>
      <c r="L123" s="375"/>
      <c r="M123" s="375"/>
      <c r="N123" s="375"/>
      <c r="O123" s="375"/>
      <c r="P123" s="375"/>
      <c r="Q123" s="375"/>
      <c r="R123" s="375"/>
      <c r="S123" s="375"/>
      <c r="T123" s="375"/>
      <c r="U123" s="375"/>
    </row>
    <row r="124" spans="1:21" s="380" customFormat="1" x14ac:dyDescent="0.2">
      <c r="A124" s="446" t="s">
        <v>359</v>
      </c>
      <c r="B124" s="447" t="s">
        <v>499</v>
      </c>
      <c r="C124" s="448">
        <v>2025</v>
      </c>
      <c r="D124" s="448"/>
      <c r="E124" s="448"/>
      <c r="F124" s="448"/>
      <c r="G124" s="448">
        <f t="shared" si="17"/>
        <v>2025</v>
      </c>
      <c r="H124" s="419"/>
      <c r="I124" s="420">
        <v>2025</v>
      </c>
      <c r="J124" s="421">
        <f t="shared" si="18"/>
        <v>0</v>
      </c>
      <c r="K124" s="375"/>
      <c r="L124" s="375"/>
      <c r="M124" s="375"/>
      <c r="N124" s="375"/>
      <c r="O124" s="375"/>
      <c r="P124" s="375"/>
      <c r="Q124" s="375"/>
      <c r="R124" s="375"/>
      <c r="S124" s="375"/>
      <c r="T124" s="375"/>
      <c r="U124" s="375"/>
    </row>
    <row r="125" spans="1:21" s="380" customFormat="1" x14ac:dyDescent="0.2">
      <c r="A125" s="446" t="s">
        <v>1271</v>
      </c>
      <c r="B125" s="447" t="s">
        <v>500</v>
      </c>
      <c r="C125" s="448">
        <v>775</v>
      </c>
      <c r="D125" s="448"/>
      <c r="E125" s="448"/>
      <c r="F125" s="448"/>
      <c r="G125" s="448">
        <f t="shared" si="17"/>
        <v>775</v>
      </c>
      <c r="H125" s="419"/>
      <c r="I125" s="420">
        <v>775</v>
      </c>
      <c r="J125" s="421">
        <f t="shared" si="18"/>
        <v>0</v>
      </c>
      <c r="K125" s="375"/>
      <c r="L125" s="375"/>
      <c r="M125" s="375"/>
      <c r="N125" s="375"/>
      <c r="O125" s="375"/>
      <c r="P125" s="375"/>
      <c r="Q125" s="375"/>
      <c r="R125" s="375"/>
      <c r="S125" s="375"/>
      <c r="T125" s="375"/>
      <c r="U125" s="375"/>
    </row>
    <row r="126" spans="1:21" s="380" customFormat="1" x14ac:dyDescent="0.2">
      <c r="A126" s="446" t="s">
        <v>1272</v>
      </c>
      <c r="B126" s="447" t="s">
        <v>501</v>
      </c>
      <c r="C126" s="448">
        <v>405</v>
      </c>
      <c r="D126" s="448"/>
      <c r="E126" s="448"/>
      <c r="F126" s="448"/>
      <c r="G126" s="448">
        <f t="shared" si="17"/>
        <v>405</v>
      </c>
      <c r="H126" s="419"/>
      <c r="I126" s="420">
        <v>405</v>
      </c>
      <c r="J126" s="421">
        <f t="shared" si="18"/>
        <v>0</v>
      </c>
      <c r="K126" s="375"/>
      <c r="L126" s="375"/>
      <c r="M126" s="375"/>
      <c r="N126" s="375"/>
      <c r="O126" s="375"/>
      <c r="P126" s="375"/>
      <c r="Q126" s="375"/>
      <c r="R126" s="375"/>
      <c r="S126" s="375"/>
      <c r="T126" s="375"/>
      <c r="U126" s="375"/>
    </row>
    <row r="127" spans="1:21" s="380" customFormat="1" x14ac:dyDescent="0.2">
      <c r="A127" s="446" t="s">
        <v>195</v>
      </c>
      <c r="B127" s="447" t="s">
        <v>842</v>
      </c>
      <c r="C127" s="448">
        <v>4655</v>
      </c>
      <c r="D127" s="448"/>
      <c r="E127" s="448"/>
      <c r="F127" s="448"/>
      <c r="G127" s="448">
        <f t="shared" si="17"/>
        <v>4655</v>
      </c>
      <c r="H127" s="419"/>
      <c r="I127" s="420">
        <v>4655</v>
      </c>
      <c r="J127" s="421">
        <f t="shared" si="18"/>
        <v>0</v>
      </c>
      <c r="K127" s="375"/>
      <c r="L127" s="375"/>
      <c r="M127" s="375"/>
      <c r="N127" s="375"/>
      <c r="O127" s="375"/>
      <c r="P127" s="375"/>
      <c r="Q127" s="375"/>
      <c r="R127" s="375"/>
      <c r="S127" s="375"/>
      <c r="T127" s="375"/>
      <c r="U127" s="375"/>
    </row>
    <row r="128" spans="1:21" s="380" customFormat="1" x14ac:dyDescent="0.2">
      <c r="A128" s="446" t="s">
        <v>196</v>
      </c>
      <c r="B128" s="447" t="s">
        <v>502</v>
      </c>
      <c r="C128" s="448">
        <v>57530</v>
      </c>
      <c r="D128" s="448">
        <f>[1]Telephone!E56</f>
        <v>5950</v>
      </c>
      <c r="E128" s="448"/>
      <c r="F128" s="448"/>
      <c r="G128" s="448">
        <f t="shared" si="17"/>
        <v>63480</v>
      </c>
      <c r="H128" s="419"/>
      <c r="I128" s="420">
        <v>63480</v>
      </c>
      <c r="J128" s="421">
        <f t="shared" si="18"/>
        <v>0</v>
      </c>
      <c r="K128" s="375"/>
      <c r="L128" s="375"/>
      <c r="M128" s="375"/>
      <c r="N128" s="375"/>
      <c r="O128" s="375"/>
      <c r="P128" s="375"/>
      <c r="Q128" s="375"/>
      <c r="R128" s="375"/>
      <c r="S128" s="375"/>
      <c r="T128" s="375"/>
      <c r="U128" s="375"/>
    </row>
    <row r="129" spans="1:21" s="380" customFormat="1" x14ac:dyDescent="0.2">
      <c r="A129" s="446"/>
      <c r="B129" s="447"/>
      <c r="C129" s="448"/>
      <c r="D129" s="448"/>
      <c r="E129" s="448"/>
      <c r="F129" s="448"/>
      <c r="G129" s="448"/>
      <c r="H129" s="419"/>
      <c r="I129" s="420"/>
      <c r="J129" s="421"/>
      <c r="K129" s="375"/>
      <c r="L129" s="375"/>
      <c r="M129" s="375"/>
      <c r="N129" s="375"/>
      <c r="O129" s="375"/>
      <c r="P129" s="375"/>
      <c r="Q129" s="375"/>
      <c r="R129" s="375"/>
      <c r="S129" s="375"/>
      <c r="T129" s="375"/>
      <c r="U129" s="375"/>
    </row>
    <row r="130" spans="1:21" s="380" customFormat="1" x14ac:dyDescent="0.2">
      <c r="A130" s="189" t="s">
        <v>1208</v>
      </c>
      <c r="B130" s="453"/>
      <c r="C130" s="448"/>
      <c r="D130" s="448"/>
      <c r="E130" s="448"/>
      <c r="F130" s="448"/>
      <c r="G130" s="448"/>
      <c r="H130" s="419"/>
      <c r="I130" s="420"/>
      <c r="J130" s="421"/>
      <c r="K130" s="375"/>
      <c r="L130" s="375"/>
      <c r="M130" s="375"/>
      <c r="N130" s="375"/>
      <c r="O130" s="375"/>
      <c r="P130" s="375"/>
      <c r="Q130" s="375"/>
      <c r="R130" s="375"/>
      <c r="S130" s="375"/>
      <c r="T130" s="375"/>
      <c r="U130" s="375"/>
    </row>
    <row r="131" spans="1:21" s="380" customFormat="1" x14ac:dyDescent="0.2">
      <c r="A131" s="446" t="s">
        <v>376</v>
      </c>
      <c r="B131" s="447" t="s">
        <v>736</v>
      </c>
      <c r="C131" s="448">
        <v>2300</v>
      </c>
      <c r="D131" s="448"/>
      <c r="E131" s="448"/>
      <c r="F131" s="448"/>
      <c r="G131" s="448">
        <f>SUM(C131:F131)</f>
        <v>2300</v>
      </c>
      <c r="H131" s="419"/>
      <c r="I131" s="420">
        <v>2300</v>
      </c>
      <c r="J131" s="421">
        <f t="shared" ref="J131" si="19">SUM(G131-I131)</f>
        <v>0</v>
      </c>
      <c r="K131" s="375"/>
      <c r="L131" s="375"/>
      <c r="M131" s="375"/>
      <c r="N131" s="375"/>
      <c r="O131" s="375"/>
      <c r="P131" s="375"/>
      <c r="Q131" s="375"/>
      <c r="R131" s="375"/>
      <c r="S131" s="375"/>
      <c r="T131" s="375"/>
      <c r="U131" s="375"/>
    </row>
    <row r="132" spans="1:21" x14ac:dyDescent="0.2">
      <c r="A132" s="188"/>
      <c r="B132" s="296"/>
      <c r="C132" s="452"/>
      <c r="D132" s="452"/>
      <c r="E132" s="452"/>
      <c r="F132" s="452"/>
      <c r="G132" s="448"/>
      <c r="H132" s="91"/>
      <c r="I132" s="63"/>
      <c r="J132" s="89"/>
    </row>
    <row r="133" spans="1:21" x14ac:dyDescent="0.2">
      <c r="A133" s="189" t="s">
        <v>197</v>
      </c>
      <c r="B133" s="453" t="s">
        <v>193</v>
      </c>
      <c r="C133" s="452"/>
      <c r="D133" s="452"/>
      <c r="E133" s="452"/>
      <c r="F133" s="452"/>
      <c r="G133" s="448"/>
      <c r="H133" s="91"/>
      <c r="I133" s="63"/>
      <c r="J133" s="89"/>
    </row>
    <row r="134" spans="1:21" s="380" customFormat="1" x14ac:dyDescent="0.2">
      <c r="A134" s="446" t="s">
        <v>198</v>
      </c>
      <c r="B134" s="447" t="s">
        <v>813</v>
      </c>
      <c r="C134" s="448">
        <v>1670</v>
      </c>
      <c r="D134" s="448"/>
      <c r="E134" s="448"/>
      <c r="F134" s="448"/>
      <c r="G134" s="448">
        <f t="shared" ref="G134:G137" si="20">SUM(C134:F134)</f>
        <v>1670</v>
      </c>
      <c r="H134" s="419"/>
      <c r="I134" s="420">
        <v>1670</v>
      </c>
      <c r="J134" s="421">
        <f>SUM(G134-I134)</f>
        <v>0</v>
      </c>
      <c r="K134" s="375"/>
      <c r="L134" s="375"/>
      <c r="M134" s="375"/>
      <c r="N134" s="375"/>
      <c r="O134" s="375"/>
      <c r="P134" s="375"/>
      <c r="Q134" s="375"/>
      <c r="R134" s="375"/>
      <c r="S134" s="375"/>
      <c r="T134" s="375"/>
      <c r="U134" s="375"/>
    </row>
    <row r="135" spans="1:21" s="380" customFormat="1" x14ac:dyDescent="0.2">
      <c r="A135" s="446" t="s">
        <v>199</v>
      </c>
      <c r="B135" s="447" t="s">
        <v>823</v>
      </c>
      <c r="C135" s="448">
        <v>9815</v>
      </c>
      <c r="D135" s="448"/>
      <c r="E135" s="448"/>
      <c r="F135" s="448"/>
      <c r="G135" s="448">
        <f t="shared" si="20"/>
        <v>9815</v>
      </c>
      <c r="H135" s="419"/>
      <c r="I135" s="420">
        <v>9815</v>
      </c>
      <c r="J135" s="421">
        <f>SUM(G135-I135)</f>
        <v>0</v>
      </c>
      <c r="K135" s="375"/>
      <c r="L135" s="375"/>
      <c r="M135" s="375"/>
      <c r="N135" s="375"/>
      <c r="O135" s="375"/>
      <c r="P135" s="375"/>
      <c r="Q135" s="375"/>
      <c r="R135" s="375"/>
      <c r="S135" s="375"/>
      <c r="T135" s="375"/>
      <c r="U135" s="375"/>
    </row>
    <row r="136" spans="1:21" s="380" customFormat="1" x14ac:dyDescent="0.2">
      <c r="A136" s="446" t="s">
        <v>631</v>
      </c>
      <c r="B136" s="447" t="s">
        <v>503</v>
      </c>
      <c r="C136" s="448">
        <v>7890</v>
      </c>
      <c r="D136" s="448"/>
      <c r="E136" s="448"/>
      <c r="F136" s="448"/>
      <c r="G136" s="448">
        <f t="shared" si="20"/>
        <v>7890</v>
      </c>
      <c r="H136" s="419"/>
      <c r="I136" s="420">
        <v>7890</v>
      </c>
      <c r="J136" s="421">
        <f>SUM(G136-I136)</f>
        <v>0</v>
      </c>
      <c r="K136" s="375"/>
      <c r="L136" s="375"/>
      <c r="M136" s="375"/>
      <c r="N136" s="375"/>
      <c r="O136" s="375"/>
      <c r="P136" s="375"/>
      <c r="Q136" s="375"/>
      <c r="R136" s="375"/>
      <c r="S136" s="375"/>
      <c r="T136" s="375"/>
      <c r="U136" s="375"/>
    </row>
    <row r="137" spans="1:21" s="380" customFormat="1" x14ac:dyDescent="0.2">
      <c r="A137" s="446" t="s">
        <v>1164</v>
      </c>
      <c r="B137" s="447" t="s">
        <v>814</v>
      </c>
      <c r="C137" s="448">
        <v>17400</v>
      </c>
      <c r="D137" s="448"/>
      <c r="E137" s="448"/>
      <c r="F137" s="448"/>
      <c r="G137" s="448">
        <f t="shared" si="20"/>
        <v>17400</v>
      </c>
      <c r="H137" s="419"/>
      <c r="I137" s="420">
        <v>17400</v>
      </c>
      <c r="J137" s="421">
        <f>SUM(G137-I137)</f>
        <v>0</v>
      </c>
      <c r="K137" s="375"/>
      <c r="L137" s="375"/>
      <c r="M137" s="375"/>
      <c r="N137" s="375"/>
      <c r="O137" s="375"/>
      <c r="P137" s="375"/>
      <c r="Q137" s="375"/>
      <c r="R137" s="375"/>
      <c r="S137" s="375"/>
      <c r="T137" s="375"/>
      <c r="U137" s="375"/>
    </row>
    <row r="138" spans="1:21" s="380" customFormat="1" x14ac:dyDescent="0.2">
      <c r="A138" s="446"/>
      <c r="B138" s="447"/>
      <c r="C138" s="448"/>
      <c r="D138" s="448"/>
      <c r="E138" s="448"/>
      <c r="F138" s="448"/>
      <c r="G138" s="448"/>
      <c r="H138" s="419"/>
      <c r="I138" s="420"/>
      <c r="J138" s="421"/>
      <c r="K138" s="375"/>
      <c r="L138" s="375"/>
      <c r="M138" s="375"/>
      <c r="N138" s="375"/>
      <c r="O138" s="375"/>
      <c r="P138" s="375"/>
      <c r="Q138" s="375"/>
      <c r="R138" s="375"/>
      <c r="S138" s="375"/>
      <c r="T138" s="375"/>
      <c r="U138" s="375"/>
    </row>
    <row r="139" spans="1:21" x14ac:dyDescent="0.2">
      <c r="A139" s="460" t="s">
        <v>784</v>
      </c>
      <c r="B139" s="453" t="s">
        <v>193</v>
      </c>
      <c r="C139" s="452"/>
      <c r="D139" s="452"/>
      <c r="E139" s="452"/>
      <c r="F139" s="452"/>
      <c r="G139" s="448"/>
      <c r="H139" s="91"/>
      <c r="I139" s="63"/>
      <c r="J139" s="89"/>
    </row>
    <row r="140" spans="1:21" s="380" customFormat="1" x14ac:dyDescent="0.2">
      <c r="A140" s="446" t="s">
        <v>166</v>
      </c>
      <c r="B140" s="447" t="s">
        <v>504</v>
      </c>
      <c r="C140" s="448">
        <v>36129</v>
      </c>
      <c r="D140" s="448"/>
      <c r="E140" s="448"/>
      <c r="F140" s="448"/>
      <c r="G140" s="448">
        <f>SUM(C140:F140)</f>
        <v>36129</v>
      </c>
      <c r="H140" s="419"/>
      <c r="I140" s="420">
        <v>36129</v>
      </c>
      <c r="J140" s="421">
        <f t="shared" ref="J140:J144" si="21">SUM(G140-I140)</f>
        <v>0</v>
      </c>
      <c r="K140" s="375"/>
      <c r="L140" s="375"/>
      <c r="M140" s="375"/>
      <c r="N140" s="375"/>
      <c r="O140" s="375"/>
      <c r="P140" s="375"/>
      <c r="Q140" s="375"/>
      <c r="R140" s="375"/>
      <c r="S140" s="375"/>
      <c r="T140" s="375"/>
      <c r="U140" s="375"/>
    </row>
    <row r="141" spans="1:21" s="380" customFormat="1" x14ac:dyDescent="0.2">
      <c r="A141" s="446"/>
      <c r="B141" s="447"/>
      <c r="C141" s="448"/>
      <c r="D141" s="448"/>
      <c r="E141" s="448"/>
      <c r="F141" s="448"/>
      <c r="G141" s="448"/>
      <c r="H141" s="419"/>
      <c r="I141" s="420"/>
      <c r="J141" s="421"/>
      <c r="K141" s="375"/>
      <c r="L141" s="375"/>
      <c r="M141" s="375"/>
      <c r="N141" s="375"/>
      <c r="O141" s="375"/>
      <c r="P141" s="375"/>
      <c r="Q141" s="375"/>
      <c r="R141" s="375"/>
      <c r="S141" s="375"/>
      <c r="T141" s="375"/>
      <c r="U141" s="375"/>
    </row>
    <row r="142" spans="1:21" s="380" customFormat="1" x14ac:dyDescent="0.2">
      <c r="A142" s="460" t="s">
        <v>785</v>
      </c>
      <c r="B142" s="453" t="s">
        <v>193</v>
      </c>
      <c r="C142" s="448"/>
      <c r="D142" s="448"/>
      <c r="E142" s="448"/>
      <c r="F142" s="448"/>
      <c r="G142" s="448"/>
      <c r="H142" s="419"/>
      <c r="I142" s="420"/>
      <c r="J142" s="421"/>
      <c r="K142" s="375"/>
      <c r="L142" s="375"/>
      <c r="M142" s="375"/>
      <c r="N142" s="375"/>
      <c r="O142" s="375"/>
      <c r="P142" s="375"/>
      <c r="Q142" s="375"/>
      <c r="R142" s="375"/>
      <c r="S142" s="375"/>
      <c r="T142" s="375"/>
      <c r="U142" s="375"/>
    </row>
    <row r="143" spans="1:21" s="380" customFormat="1" x14ac:dyDescent="0.2">
      <c r="A143" s="446" t="s">
        <v>1211</v>
      </c>
      <c r="B143" s="447" t="s">
        <v>727</v>
      </c>
      <c r="C143" s="448">
        <v>460050</v>
      </c>
      <c r="D143" s="448"/>
      <c r="E143" s="448"/>
      <c r="F143" s="448"/>
      <c r="G143" s="448">
        <f t="shared" ref="G143:G152" si="22">SUM(C143:F143)</f>
        <v>460050</v>
      </c>
      <c r="H143" s="419"/>
      <c r="I143" s="420">
        <v>460050</v>
      </c>
      <c r="J143" s="421">
        <f t="shared" si="21"/>
        <v>0</v>
      </c>
      <c r="K143" s="375"/>
      <c r="L143" s="375"/>
      <c r="M143" s="375"/>
      <c r="N143" s="375"/>
      <c r="O143" s="375"/>
      <c r="P143" s="375"/>
      <c r="Q143" s="375"/>
      <c r="R143" s="375"/>
      <c r="S143" s="375"/>
      <c r="T143" s="375"/>
      <c r="U143" s="375"/>
    </row>
    <row r="144" spans="1:21" s="380" customFormat="1" x14ac:dyDescent="0.2">
      <c r="A144" s="446" t="s">
        <v>649</v>
      </c>
      <c r="B144" s="447" t="s">
        <v>645</v>
      </c>
      <c r="C144" s="448">
        <v>95000</v>
      </c>
      <c r="D144" s="448"/>
      <c r="E144" s="448"/>
      <c r="F144" s="448"/>
      <c r="G144" s="448">
        <f t="shared" si="22"/>
        <v>95000</v>
      </c>
      <c r="H144" s="419"/>
      <c r="I144" s="420">
        <v>95000</v>
      </c>
      <c r="J144" s="421">
        <f t="shared" si="21"/>
        <v>0</v>
      </c>
      <c r="K144" s="375"/>
      <c r="L144" s="375"/>
      <c r="M144" s="375"/>
      <c r="N144" s="375"/>
      <c r="O144" s="375"/>
      <c r="P144" s="375"/>
      <c r="Q144" s="375"/>
      <c r="R144" s="375"/>
      <c r="S144" s="375"/>
      <c r="T144" s="375"/>
      <c r="U144" s="375"/>
    </row>
    <row r="145" spans="1:21" s="380" customFormat="1" x14ac:dyDescent="0.2">
      <c r="A145" s="446" t="s">
        <v>128</v>
      </c>
      <c r="B145" s="447" t="s">
        <v>646</v>
      </c>
      <c r="C145" s="448">
        <v>50530</v>
      </c>
      <c r="D145" s="448"/>
      <c r="E145" s="448"/>
      <c r="F145" s="448"/>
      <c r="G145" s="448">
        <f t="shared" si="22"/>
        <v>50530</v>
      </c>
      <c r="H145" s="419"/>
      <c r="I145" s="420">
        <v>50530</v>
      </c>
      <c r="J145" s="421">
        <f>SUM(G145-I145)</f>
        <v>0</v>
      </c>
      <c r="K145" s="375"/>
      <c r="L145" s="375"/>
      <c r="M145" s="375"/>
      <c r="N145" s="375"/>
      <c r="O145" s="375"/>
      <c r="P145" s="375"/>
      <c r="Q145" s="375"/>
      <c r="R145" s="375"/>
      <c r="S145" s="375"/>
      <c r="T145" s="375"/>
      <c r="U145" s="375"/>
    </row>
    <row r="146" spans="1:21" s="380" customFormat="1" x14ac:dyDescent="0.2">
      <c r="A146" s="446" t="s">
        <v>650</v>
      </c>
      <c r="B146" s="447" t="s">
        <v>647</v>
      </c>
      <c r="C146" s="448">
        <v>128250</v>
      </c>
      <c r="D146" s="448"/>
      <c r="E146" s="448"/>
      <c r="F146" s="448"/>
      <c r="G146" s="448">
        <f t="shared" si="22"/>
        <v>128250</v>
      </c>
      <c r="H146" s="419"/>
      <c r="I146" s="420">
        <v>128250</v>
      </c>
      <c r="J146" s="421">
        <f>SUM(G146-I146)</f>
        <v>0</v>
      </c>
      <c r="K146" s="375"/>
      <c r="L146" s="375"/>
      <c r="M146" s="375"/>
      <c r="N146" s="375"/>
      <c r="O146" s="375"/>
      <c r="P146" s="375"/>
      <c r="Q146" s="375"/>
      <c r="R146" s="375"/>
      <c r="S146" s="375"/>
      <c r="T146" s="375"/>
      <c r="U146" s="375"/>
    </row>
    <row r="147" spans="1:21" s="380" customFormat="1" x14ac:dyDescent="0.2">
      <c r="A147" s="446" t="s">
        <v>651</v>
      </c>
      <c r="B147" s="447" t="s">
        <v>648</v>
      </c>
      <c r="C147" s="448">
        <v>15815</v>
      </c>
      <c r="D147" s="448"/>
      <c r="E147" s="448"/>
      <c r="F147" s="448"/>
      <c r="G147" s="448">
        <f t="shared" si="22"/>
        <v>15815</v>
      </c>
      <c r="H147" s="419"/>
      <c r="I147" s="420">
        <v>15815</v>
      </c>
      <c r="J147" s="421">
        <f>SUM(G147-I147)</f>
        <v>0</v>
      </c>
      <c r="K147" s="375"/>
      <c r="L147" s="375"/>
      <c r="M147" s="375"/>
      <c r="N147" s="375"/>
      <c r="O147" s="375"/>
      <c r="P147" s="375"/>
      <c r="Q147" s="375"/>
      <c r="R147" s="375"/>
      <c r="S147" s="375"/>
      <c r="T147" s="375"/>
      <c r="U147" s="375"/>
    </row>
    <row r="148" spans="1:21" s="380" customFormat="1" x14ac:dyDescent="0.2">
      <c r="A148" s="446" t="s">
        <v>428</v>
      </c>
      <c r="B148" s="447" t="s">
        <v>688</v>
      </c>
      <c r="C148" s="448">
        <v>310</v>
      </c>
      <c r="D148" s="448"/>
      <c r="E148" s="448"/>
      <c r="F148" s="448"/>
      <c r="G148" s="448">
        <f t="shared" si="22"/>
        <v>310</v>
      </c>
      <c r="H148" s="419"/>
      <c r="I148" s="420">
        <v>310</v>
      </c>
      <c r="J148" s="421">
        <f>SUM(G148-I148)</f>
        <v>0</v>
      </c>
      <c r="K148" s="375"/>
      <c r="L148" s="375"/>
      <c r="M148" s="375"/>
      <c r="N148" s="375"/>
      <c r="O148" s="375"/>
      <c r="P148" s="375"/>
      <c r="Q148" s="375"/>
      <c r="R148" s="375"/>
      <c r="S148" s="375"/>
      <c r="T148" s="375"/>
      <c r="U148" s="375"/>
    </row>
    <row r="149" spans="1:21" s="380" customFormat="1" x14ac:dyDescent="0.2">
      <c r="A149" s="446" t="s">
        <v>200</v>
      </c>
      <c r="B149" s="447" t="s">
        <v>505</v>
      </c>
      <c r="C149" s="448">
        <v>4065</v>
      </c>
      <c r="D149" s="448"/>
      <c r="E149" s="448"/>
      <c r="F149" s="448"/>
      <c r="G149" s="448">
        <f t="shared" si="22"/>
        <v>4065</v>
      </c>
      <c r="H149" s="419"/>
      <c r="I149" s="420">
        <v>4065</v>
      </c>
      <c r="J149" s="421">
        <f>SUM(G149-I149)</f>
        <v>0</v>
      </c>
      <c r="K149" s="375"/>
      <c r="L149" s="375"/>
      <c r="M149" s="375"/>
      <c r="N149" s="375"/>
      <c r="O149" s="375"/>
      <c r="P149" s="375"/>
      <c r="Q149" s="375"/>
      <c r="R149" s="375"/>
      <c r="S149" s="375"/>
      <c r="T149" s="375"/>
      <c r="U149" s="375"/>
    </row>
    <row r="150" spans="1:21" x14ac:dyDescent="0.2">
      <c r="A150" s="188"/>
      <c r="B150" s="296"/>
      <c r="C150" s="452"/>
      <c r="D150" s="452"/>
      <c r="E150" s="452"/>
      <c r="F150" s="452"/>
      <c r="G150" s="448">
        <f t="shared" si="22"/>
        <v>0</v>
      </c>
      <c r="H150" s="91"/>
      <c r="I150" s="63"/>
      <c r="J150" s="89"/>
    </row>
    <row r="151" spans="1:21" s="395" customFormat="1" x14ac:dyDescent="0.2">
      <c r="A151" s="460" t="s">
        <v>1217</v>
      </c>
      <c r="B151" s="453">
        <v>2290</v>
      </c>
      <c r="C151" s="452"/>
      <c r="D151" s="452"/>
      <c r="E151" s="452"/>
      <c r="F151" s="452"/>
      <c r="G151" s="448"/>
      <c r="H151" s="91"/>
      <c r="I151" s="63"/>
      <c r="J151" s="89"/>
      <c r="K151" s="397"/>
      <c r="L151" s="397"/>
      <c r="M151" s="397"/>
      <c r="N151" s="397"/>
      <c r="O151" s="397"/>
      <c r="P151" s="397"/>
      <c r="Q151" s="397"/>
      <c r="R151" s="397"/>
      <c r="S151" s="397"/>
      <c r="T151" s="397"/>
      <c r="U151" s="397"/>
    </row>
    <row r="152" spans="1:21" s="395" customFormat="1" x14ac:dyDescent="0.2">
      <c r="A152" s="446" t="s">
        <v>317</v>
      </c>
      <c r="B152" s="447" t="s">
        <v>506</v>
      </c>
      <c r="C152" s="448">
        <v>46015</v>
      </c>
      <c r="D152" s="397"/>
      <c r="E152" s="448"/>
      <c r="F152" s="397"/>
      <c r="G152" s="448">
        <f t="shared" si="22"/>
        <v>46015</v>
      </c>
      <c r="H152" s="419"/>
      <c r="I152" s="420">
        <v>46015</v>
      </c>
      <c r="J152" s="421">
        <f>SUM(G152-I152)</f>
        <v>0</v>
      </c>
      <c r="K152" s="397"/>
      <c r="L152" s="397"/>
      <c r="M152" s="397"/>
      <c r="N152" s="397"/>
      <c r="O152" s="397"/>
      <c r="P152" s="397"/>
      <c r="Q152" s="397"/>
      <c r="R152" s="397"/>
      <c r="S152" s="397"/>
      <c r="T152" s="397"/>
      <c r="U152" s="397"/>
    </row>
    <row r="153" spans="1:21" x14ac:dyDescent="0.2">
      <c r="A153" s="181"/>
      <c r="B153" s="296"/>
      <c r="C153" s="182"/>
      <c r="D153" s="182"/>
      <c r="E153" s="182"/>
      <c r="F153" s="182"/>
      <c r="G153" s="448"/>
      <c r="H153" s="91"/>
      <c r="I153" s="122"/>
      <c r="J153" s="89"/>
    </row>
    <row r="154" spans="1:21" x14ac:dyDescent="0.2">
      <c r="A154" s="187" t="s">
        <v>191</v>
      </c>
      <c r="B154" s="296"/>
      <c r="C154" s="182"/>
      <c r="D154" s="182"/>
      <c r="E154" s="182"/>
      <c r="F154" s="182"/>
      <c r="G154" s="448"/>
      <c r="H154" s="91"/>
      <c r="I154" s="63"/>
      <c r="J154" s="89"/>
    </row>
    <row r="155" spans="1:21" x14ac:dyDescent="0.2">
      <c r="A155" s="461" t="s">
        <v>201</v>
      </c>
      <c r="B155" s="453">
        <v>3311</v>
      </c>
      <c r="C155" s="182"/>
      <c r="D155" s="182"/>
      <c r="E155" s="182"/>
      <c r="F155" s="182"/>
      <c r="G155" s="448"/>
      <c r="H155" s="91"/>
      <c r="I155" s="63"/>
      <c r="J155" s="89"/>
    </row>
    <row r="156" spans="1:21" s="380" customFormat="1" x14ac:dyDescent="0.2">
      <c r="A156" s="446" t="s">
        <v>76</v>
      </c>
      <c r="B156" s="447" t="s">
        <v>507</v>
      </c>
      <c r="C156" s="448">
        <v>21595</v>
      </c>
      <c r="D156" s="448">
        <f>Telephone!C59+Telephone!D59</f>
        <v>1480</v>
      </c>
      <c r="E156" s="448"/>
      <c r="F156" s="448"/>
      <c r="G156" s="448">
        <f t="shared" ref="G156:G158" si="23">SUM(C156:F156)</f>
        <v>23075</v>
      </c>
      <c r="H156" s="419"/>
      <c r="I156" s="420">
        <v>23075</v>
      </c>
      <c r="J156" s="421">
        <f>SUM(G156-I156)</f>
        <v>0</v>
      </c>
      <c r="K156" s="375"/>
      <c r="L156" s="375"/>
      <c r="M156" s="375"/>
      <c r="N156" s="375"/>
      <c r="O156" s="375"/>
      <c r="P156" s="375"/>
      <c r="Q156" s="375"/>
      <c r="R156" s="375"/>
      <c r="S156" s="375"/>
      <c r="T156" s="375"/>
      <c r="U156" s="375"/>
    </row>
    <row r="157" spans="1:21" s="380" customFormat="1" x14ac:dyDescent="0.2">
      <c r="A157" s="446" t="s">
        <v>202</v>
      </c>
      <c r="B157" s="447" t="s">
        <v>508</v>
      </c>
      <c r="C157" s="448">
        <v>3800</v>
      </c>
      <c r="D157" s="448"/>
      <c r="E157" s="448"/>
      <c r="F157" s="448"/>
      <c r="G157" s="448">
        <f t="shared" si="23"/>
        <v>3800</v>
      </c>
      <c r="H157" s="419"/>
      <c r="I157" s="420">
        <v>3800</v>
      </c>
      <c r="J157" s="421">
        <f>SUM(G157-I157)</f>
        <v>0</v>
      </c>
      <c r="K157" s="375"/>
      <c r="L157" s="375"/>
      <c r="M157" s="375"/>
      <c r="N157" s="375"/>
      <c r="O157" s="375"/>
      <c r="P157" s="375"/>
      <c r="Q157" s="375"/>
      <c r="R157" s="375"/>
      <c r="S157" s="375"/>
      <c r="T157" s="375"/>
      <c r="U157" s="375"/>
    </row>
    <row r="158" spans="1:21" s="380" customFormat="1" x14ac:dyDescent="0.2">
      <c r="A158" s="446" t="s">
        <v>804</v>
      </c>
      <c r="B158" s="447" t="s">
        <v>509</v>
      </c>
      <c r="C158" s="448">
        <v>54265</v>
      </c>
      <c r="D158" s="448">
        <f>Telephone!C48+Telephone!D48</f>
        <v>855</v>
      </c>
      <c r="E158" s="448"/>
      <c r="F158" s="448"/>
      <c r="G158" s="448">
        <f t="shared" si="23"/>
        <v>55120</v>
      </c>
      <c r="H158" s="419"/>
      <c r="I158" s="420">
        <v>55120</v>
      </c>
      <c r="J158" s="421">
        <f>SUM(G158-I158)</f>
        <v>0</v>
      </c>
      <c r="K158" s="375"/>
      <c r="L158" s="375"/>
      <c r="M158" s="375"/>
      <c r="N158" s="375"/>
      <c r="O158" s="375"/>
      <c r="P158" s="375"/>
      <c r="Q158" s="375"/>
      <c r="R158" s="375"/>
      <c r="S158" s="375"/>
      <c r="T158" s="375"/>
      <c r="U158" s="375"/>
    </row>
    <row r="159" spans="1:21" x14ac:dyDescent="0.2">
      <c r="A159" s="185"/>
      <c r="B159" s="296"/>
      <c r="C159" s="462"/>
      <c r="D159" s="462"/>
      <c r="E159" s="462"/>
      <c r="F159" s="462"/>
      <c r="G159" s="448"/>
      <c r="H159" s="91"/>
      <c r="I159" s="63"/>
      <c r="J159" s="89"/>
    </row>
    <row r="160" spans="1:21" x14ac:dyDescent="0.2">
      <c r="A160" s="460" t="s">
        <v>203</v>
      </c>
      <c r="B160" s="453">
        <v>3330</v>
      </c>
      <c r="C160" s="391"/>
      <c r="D160" s="391"/>
      <c r="E160" s="391"/>
      <c r="F160" s="391"/>
      <c r="G160" s="448"/>
      <c r="H160" s="91"/>
      <c r="I160" s="63"/>
      <c r="J160" s="89"/>
    </row>
    <row r="161" spans="1:21" s="380" customFormat="1" x14ac:dyDescent="0.2">
      <c r="A161" s="446" t="s">
        <v>395</v>
      </c>
      <c r="B161" s="447" t="s">
        <v>510</v>
      </c>
      <c r="C161" s="448">
        <v>25555</v>
      </c>
      <c r="D161" s="448">
        <f>[1]Telephone!E46</f>
        <v>1425</v>
      </c>
      <c r="E161" s="448"/>
      <c r="F161" s="448"/>
      <c r="G161" s="448">
        <f t="shared" ref="G161:G165" si="24">SUM(C161:F161)</f>
        <v>26980</v>
      </c>
      <c r="H161" s="419"/>
      <c r="I161" s="420">
        <v>26980</v>
      </c>
      <c r="J161" s="421">
        <f t="shared" ref="J161:J165" si="25">SUM(G161-I161)</f>
        <v>0</v>
      </c>
      <c r="K161" s="375"/>
      <c r="L161" s="375"/>
      <c r="M161" s="375"/>
      <c r="N161" s="375"/>
      <c r="O161" s="375"/>
      <c r="P161" s="375"/>
      <c r="Q161" s="375"/>
      <c r="R161" s="375"/>
      <c r="S161" s="375"/>
      <c r="T161" s="375"/>
      <c r="U161" s="375"/>
    </row>
    <row r="162" spans="1:21" s="380" customFormat="1" x14ac:dyDescent="0.2">
      <c r="A162" s="446" t="s">
        <v>1214</v>
      </c>
      <c r="B162" s="447" t="s">
        <v>1215</v>
      </c>
      <c r="C162" s="448">
        <v>30000</v>
      </c>
      <c r="D162" s="448"/>
      <c r="E162" s="448"/>
      <c r="F162" s="448"/>
      <c r="G162" s="448">
        <v>30000</v>
      </c>
      <c r="H162" s="91"/>
      <c r="I162" s="420">
        <v>30000</v>
      </c>
      <c r="J162" s="421">
        <f t="shared" si="25"/>
        <v>0</v>
      </c>
      <c r="K162" s="375"/>
      <c r="L162" s="375"/>
      <c r="M162" s="375"/>
      <c r="N162" s="375"/>
      <c r="O162" s="375"/>
      <c r="P162" s="375"/>
      <c r="Q162" s="375"/>
      <c r="R162" s="375"/>
      <c r="S162" s="375"/>
      <c r="T162" s="375"/>
      <c r="U162" s="375"/>
    </row>
    <row r="163" spans="1:21" s="380" customFormat="1" x14ac:dyDescent="0.2">
      <c r="A163" s="446" t="s">
        <v>204</v>
      </c>
      <c r="B163" s="447" t="s">
        <v>511</v>
      </c>
      <c r="C163" s="448">
        <v>125</v>
      </c>
      <c r="D163" s="448"/>
      <c r="E163" s="422"/>
      <c r="F163" s="422"/>
      <c r="G163" s="448">
        <f t="shared" si="24"/>
        <v>125</v>
      </c>
      <c r="H163" s="91"/>
      <c r="I163" s="423">
        <v>125</v>
      </c>
      <c r="J163" s="421">
        <f t="shared" si="25"/>
        <v>0</v>
      </c>
      <c r="K163" s="375"/>
      <c r="L163" s="375"/>
      <c r="M163" s="375"/>
      <c r="N163" s="375"/>
      <c r="O163" s="375"/>
      <c r="P163" s="375"/>
      <c r="Q163" s="375"/>
      <c r="R163" s="375"/>
      <c r="S163" s="375"/>
      <c r="T163" s="375"/>
      <c r="U163" s="375"/>
    </row>
    <row r="164" spans="1:21" s="380" customFormat="1" x14ac:dyDescent="0.2">
      <c r="A164" s="446" t="s">
        <v>152</v>
      </c>
      <c r="B164" s="447" t="s">
        <v>512</v>
      </c>
      <c r="C164" s="448">
        <v>3650</v>
      </c>
      <c r="D164" s="448"/>
      <c r="E164" s="448"/>
      <c r="F164" s="448"/>
      <c r="G164" s="448">
        <f t="shared" si="24"/>
        <v>3650</v>
      </c>
      <c r="H164" s="419"/>
      <c r="I164" s="420">
        <v>3650</v>
      </c>
      <c r="J164" s="421">
        <f t="shared" si="25"/>
        <v>0</v>
      </c>
      <c r="K164" s="375"/>
      <c r="L164" s="375"/>
      <c r="M164" s="375"/>
      <c r="N164" s="375"/>
      <c r="O164" s="375"/>
      <c r="P164" s="375"/>
      <c r="Q164" s="375"/>
      <c r="R164" s="375"/>
      <c r="S164" s="375"/>
      <c r="T164" s="375"/>
      <c r="U164" s="375"/>
    </row>
    <row r="165" spans="1:21" s="380" customFormat="1" x14ac:dyDescent="0.2">
      <c r="A165" s="446" t="s">
        <v>1165</v>
      </c>
      <c r="B165" s="447" t="s">
        <v>1166</v>
      </c>
      <c r="C165" s="448">
        <v>0</v>
      </c>
      <c r="D165" s="448"/>
      <c r="E165" s="448"/>
      <c r="F165" s="448"/>
      <c r="G165" s="448">
        <f t="shared" si="24"/>
        <v>0</v>
      </c>
      <c r="H165" s="419"/>
      <c r="I165" s="420">
        <v>0</v>
      </c>
      <c r="J165" s="421">
        <f t="shared" si="25"/>
        <v>0</v>
      </c>
      <c r="K165" s="375"/>
      <c r="L165" s="375"/>
      <c r="M165" s="375"/>
      <c r="N165" s="375"/>
      <c r="O165" s="375"/>
      <c r="P165" s="375"/>
      <c r="Q165" s="375"/>
      <c r="R165" s="375"/>
      <c r="S165" s="375"/>
      <c r="T165" s="375"/>
      <c r="U165" s="375"/>
    </row>
    <row r="166" spans="1:21" s="380" customFormat="1" x14ac:dyDescent="0.2">
      <c r="A166" s="446"/>
      <c r="B166" s="447"/>
      <c r="C166" s="448"/>
      <c r="D166" s="448"/>
      <c r="E166" s="448"/>
      <c r="F166" s="448"/>
      <c r="G166" s="448"/>
      <c r="H166" s="419"/>
      <c r="I166" s="420"/>
      <c r="J166" s="421"/>
      <c r="K166" s="375"/>
      <c r="L166" s="375"/>
      <c r="M166" s="375"/>
      <c r="N166" s="375"/>
      <c r="O166" s="375"/>
      <c r="P166" s="375"/>
      <c r="Q166" s="375"/>
      <c r="R166" s="375"/>
      <c r="S166" s="375"/>
      <c r="T166" s="375"/>
      <c r="U166" s="375"/>
    </row>
    <row r="167" spans="1:21" x14ac:dyDescent="0.2">
      <c r="A167" s="460" t="s">
        <v>205</v>
      </c>
      <c r="B167" s="453">
        <v>3331</v>
      </c>
      <c r="C167" s="462"/>
      <c r="D167" s="462"/>
      <c r="E167" s="462"/>
      <c r="F167" s="462"/>
      <c r="G167" s="448"/>
      <c r="H167" s="91"/>
      <c r="I167" s="63"/>
      <c r="J167" s="89"/>
    </row>
    <row r="168" spans="1:21" s="380" customFormat="1" x14ac:dyDescent="0.2">
      <c r="A168" s="446" t="s">
        <v>636</v>
      </c>
      <c r="B168" s="447" t="s">
        <v>608</v>
      </c>
      <c r="C168" s="448">
        <v>50000</v>
      </c>
      <c r="D168" s="448"/>
      <c r="E168" s="448"/>
      <c r="F168" s="448"/>
      <c r="G168" s="448">
        <f t="shared" ref="G168:G172" si="26">SUM(C168:F168)</f>
        <v>50000</v>
      </c>
      <c r="H168" s="419"/>
      <c r="I168" s="420">
        <v>34500</v>
      </c>
      <c r="J168" s="421">
        <f t="shared" ref="J168:J172" si="27">SUM(G168-I168)</f>
        <v>15500</v>
      </c>
      <c r="K168" s="375"/>
      <c r="L168" s="375"/>
      <c r="M168" s="375"/>
      <c r="N168" s="375"/>
      <c r="O168" s="375"/>
      <c r="P168" s="375"/>
      <c r="Q168" s="375"/>
      <c r="R168" s="375"/>
      <c r="S168" s="375"/>
      <c r="T168" s="375"/>
      <c r="U168" s="375"/>
    </row>
    <row r="169" spans="1:21" s="380" customFormat="1" x14ac:dyDescent="0.2">
      <c r="A169" s="446" t="s">
        <v>801</v>
      </c>
      <c r="B169" s="447" t="s">
        <v>660</v>
      </c>
      <c r="C169" s="448">
        <v>19660</v>
      </c>
      <c r="D169" s="448"/>
      <c r="E169" s="448"/>
      <c r="F169" s="448"/>
      <c r="G169" s="448">
        <f t="shared" si="26"/>
        <v>19660</v>
      </c>
      <c r="H169" s="419"/>
      <c r="I169" s="420">
        <v>19660</v>
      </c>
      <c r="J169" s="421">
        <f t="shared" si="27"/>
        <v>0</v>
      </c>
      <c r="K169" s="375"/>
      <c r="L169" s="375"/>
      <c r="M169" s="375"/>
      <c r="N169" s="375"/>
      <c r="O169" s="375"/>
      <c r="P169" s="375"/>
      <c r="Q169" s="375"/>
      <c r="R169" s="375"/>
      <c r="S169" s="375"/>
      <c r="T169" s="375"/>
      <c r="U169" s="375"/>
    </row>
    <row r="170" spans="1:21" s="380" customFormat="1" x14ac:dyDescent="0.2">
      <c r="A170" s="446" t="s">
        <v>206</v>
      </c>
      <c r="B170" s="447" t="s">
        <v>513</v>
      </c>
      <c r="C170" s="448">
        <v>4990</v>
      </c>
      <c r="D170" s="448"/>
      <c r="E170" s="448"/>
      <c r="F170" s="448"/>
      <c r="G170" s="448">
        <f t="shared" si="26"/>
        <v>4990</v>
      </c>
      <c r="H170" s="419"/>
      <c r="I170" s="420">
        <v>4990</v>
      </c>
      <c r="J170" s="421">
        <f t="shared" si="27"/>
        <v>0</v>
      </c>
      <c r="K170" s="375"/>
      <c r="L170" s="375"/>
      <c r="M170" s="375"/>
      <c r="N170" s="375"/>
      <c r="O170" s="375"/>
      <c r="P170" s="375"/>
      <c r="Q170" s="375"/>
      <c r="R170" s="375"/>
      <c r="S170" s="375"/>
      <c r="T170" s="375"/>
      <c r="U170" s="375"/>
    </row>
    <row r="171" spans="1:21" s="380" customFormat="1" x14ac:dyDescent="0.2">
      <c r="A171" s="446" t="s">
        <v>718</v>
      </c>
      <c r="B171" s="447" t="s">
        <v>514</v>
      </c>
      <c r="C171" s="448">
        <v>10060</v>
      </c>
      <c r="D171" s="448"/>
      <c r="E171" s="448"/>
      <c r="F171" s="448"/>
      <c r="G171" s="448">
        <f t="shared" si="26"/>
        <v>10060</v>
      </c>
      <c r="H171" s="419"/>
      <c r="I171" s="420">
        <v>10060</v>
      </c>
      <c r="J171" s="421">
        <f t="shared" si="27"/>
        <v>0</v>
      </c>
      <c r="K171" s="375"/>
      <c r="L171" s="375"/>
      <c r="M171" s="375"/>
      <c r="N171" s="375"/>
      <c r="O171" s="375"/>
      <c r="P171" s="375"/>
      <c r="Q171" s="375"/>
      <c r="R171" s="375"/>
      <c r="S171" s="375"/>
      <c r="T171" s="375"/>
      <c r="U171" s="375"/>
    </row>
    <row r="172" spans="1:21" s="380" customFormat="1" x14ac:dyDescent="0.2">
      <c r="A172" s="446" t="s">
        <v>863</v>
      </c>
      <c r="B172" s="447" t="s">
        <v>864</v>
      </c>
      <c r="C172" s="448">
        <v>9500</v>
      </c>
      <c r="D172" s="448"/>
      <c r="E172" s="448"/>
      <c r="F172" s="448"/>
      <c r="G172" s="448">
        <f t="shared" si="26"/>
        <v>9500</v>
      </c>
      <c r="H172" s="419"/>
      <c r="I172" s="420">
        <v>9500</v>
      </c>
      <c r="J172" s="421">
        <f t="shared" si="27"/>
        <v>0</v>
      </c>
      <c r="K172" s="375"/>
      <c r="L172" s="375"/>
      <c r="M172" s="375"/>
      <c r="N172" s="375"/>
      <c r="O172" s="375"/>
      <c r="P172" s="375"/>
      <c r="Q172" s="375"/>
      <c r="R172" s="375"/>
      <c r="S172" s="375"/>
      <c r="T172" s="375"/>
      <c r="U172" s="375"/>
    </row>
    <row r="173" spans="1:21" x14ac:dyDescent="0.2">
      <c r="A173" s="185"/>
      <c r="B173" s="296"/>
      <c r="C173" s="462"/>
      <c r="D173" s="462"/>
      <c r="E173" s="462"/>
      <c r="F173" s="462"/>
      <c r="G173" s="448"/>
      <c r="H173" s="91"/>
      <c r="I173" s="63"/>
      <c r="J173" s="89"/>
    </row>
    <row r="174" spans="1:21" s="380" customFormat="1" x14ac:dyDescent="0.2">
      <c r="A174" s="460" t="s">
        <v>207</v>
      </c>
      <c r="B174" s="450" t="s">
        <v>515</v>
      </c>
      <c r="C174" s="448">
        <v>9085</v>
      </c>
      <c r="D174" s="448"/>
      <c r="E174" s="448"/>
      <c r="F174" s="448"/>
      <c r="G174" s="448">
        <f>SUM(C174:F174)</f>
        <v>9085</v>
      </c>
      <c r="H174" s="419"/>
      <c r="I174" s="420">
        <v>9085</v>
      </c>
      <c r="J174" s="421">
        <f>SUM(G174-I174)</f>
        <v>0</v>
      </c>
      <c r="K174" s="375"/>
      <c r="L174" s="375"/>
      <c r="M174" s="375"/>
      <c r="N174" s="375"/>
      <c r="O174" s="375"/>
      <c r="P174" s="375"/>
      <c r="Q174" s="375"/>
      <c r="R174" s="375"/>
      <c r="S174" s="375"/>
      <c r="T174" s="375"/>
      <c r="U174" s="375"/>
    </row>
    <row r="175" spans="1:21" x14ac:dyDescent="0.2">
      <c r="A175" s="185"/>
      <c r="B175" s="296"/>
      <c r="C175" s="462"/>
      <c r="D175" s="462"/>
      <c r="E175" s="462"/>
      <c r="F175" s="462"/>
      <c r="G175" s="448"/>
      <c r="H175" s="91"/>
      <c r="I175" s="63"/>
      <c r="J175" s="89"/>
    </row>
    <row r="176" spans="1:21" x14ac:dyDescent="0.2">
      <c r="A176" s="460" t="s">
        <v>208</v>
      </c>
      <c r="B176" s="453">
        <v>3333</v>
      </c>
      <c r="C176" s="462"/>
      <c r="D176" s="462"/>
      <c r="E176" s="462"/>
      <c r="F176" s="462"/>
      <c r="G176" s="448"/>
      <c r="H176" s="91"/>
      <c r="I176" s="63"/>
      <c r="J176" s="89"/>
    </row>
    <row r="177" spans="1:21" s="380" customFormat="1" x14ac:dyDescent="0.2">
      <c r="A177" s="446" t="s">
        <v>108</v>
      </c>
      <c r="B177" s="447" t="s">
        <v>516</v>
      </c>
      <c r="C177" s="448">
        <v>3600</v>
      </c>
      <c r="D177" s="448"/>
      <c r="E177" s="448">
        <f>Utilities!C53</f>
        <v>10000</v>
      </c>
      <c r="F177" s="448"/>
      <c r="G177" s="448">
        <f t="shared" ref="G177:G178" si="28">SUM(C177:F177)</f>
        <v>13600</v>
      </c>
      <c r="H177" s="419"/>
      <c r="I177" s="420">
        <v>13600</v>
      </c>
      <c r="J177" s="421">
        <f>SUM(G177-I177)</f>
        <v>0</v>
      </c>
      <c r="K177" s="375"/>
      <c r="L177" s="375"/>
      <c r="M177" s="375"/>
      <c r="N177" s="375"/>
      <c r="O177" s="375"/>
      <c r="P177" s="375"/>
      <c r="Q177" s="375"/>
      <c r="R177" s="375"/>
      <c r="S177" s="375"/>
      <c r="T177" s="375"/>
      <c r="U177" s="375"/>
    </row>
    <row r="178" spans="1:21" s="380" customFormat="1" x14ac:dyDescent="0.2">
      <c r="A178" s="446" t="s">
        <v>209</v>
      </c>
      <c r="B178" s="447" t="s">
        <v>517</v>
      </c>
      <c r="C178" s="448">
        <v>41565</v>
      </c>
      <c r="D178" s="448"/>
      <c r="E178" s="448"/>
      <c r="F178" s="448"/>
      <c r="G178" s="448">
        <f t="shared" si="28"/>
        <v>41565</v>
      </c>
      <c r="H178" s="419"/>
      <c r="I178" s="420">
        <v>41565</v>
      </c>
      <c r="J178" s="421">
        <f>SUM(G178-I178)</f>
        <v>0</v>
      </c>
      <c r="K178" s="375"/>
      <c r="L178" s="375"/>
      <c r="M178" s="375"/>
      <c r="N178" s="375"/>
      <c r="O178" s="375"/>
      <c r="P178" s="375"/>
      <c r="Q178" s="375"/>
      <c r="R178" s="375"/>
      <c r="S178" s="375"/>
      <c r="T178" s="375"/>
      <c r="U178" s="375"/>
    </row>
    <row r="179" spans="1:21" x14ac:dyDescent="0.2">
      <c r="A179" s="285"/>
      <c r="B179" s="296"/>
      <c r="C179" s="409"/>
      <c r="D179" s="409"/>
      <c r="E179" s="409"/>
      <c r="F179" s="409"/>
      <c r="G179" s="448"/>
      <c r="H179" s="91"/>
      <c r="I179" s="63"/>
      <c r="J179" s="89"/>
    </row>
    <row r="180" spans="1:21" s="380" customFormat="1" x14ac:dyDescent="0.2">
      <c r="A180" s="460" t="s">
        <v>210</v>
      </c>
      <c r="B180" s="450" t="s">
        <v>518</v>
      </c>
      <c r="C180" s="448">
        <v>114100</v>
      </c>
      <c r="D180" s="448"/>
      <c r="E180" s="448"/>
      <c r="F180" s="448"/>
      <c r="G180" s="448">
        <f>SUM(C180:F180)</f>
        <v>114100</v>
      </c>
      <c r="H180" s="419"/>
      <c r="I180" s="420">
        <v>114100</v>
      </c>
      <c r="J180" s="421">
        <f>SUM(G180-I180)</f>
        <v>0</v>
      </c>
      <c r="K180" s="375"/>
      <c r="L180" s="375"/>
      <c r="M180" s="375"/>
      <c r="N180" s="375"/>
      <c r="O180" s="375"/>
      <c r="P180" s="375"/>
      <c r="Q180" s="375"/>
      <c r="R180" s="375"/>
      <c r="S180" s="375"/>
      <c r="T180" s="375"/>
      <c r="U180" s="375"/>
    </row>
    <row r="181" spans="1:21" x14ac:dyDescent="0.2">
      <c r="A181" s="285"/>
      <c r="B181" s="296"/>
      <c r="C181" s="409"/>
      <c r="D181" s="409"/>
      <c r="E181" s="409"/>
      <c r="F181" s="409"/>
      <c r="G181" s="448"/>
      <c r="H181" s="91"/>
      <c r="I181" s="63"/>
      <c r="J181" s="89"/>
    </row>
    <row r="182" spans="1:21" x14ac:dyDescent="0.2">
      <c r="A182" s="459" t="s">
        <v>346</v>
      </c>
      <c r="B182" s="453">
        <v>3339</v>
      </c>
      <c r="C182" s="409"/>
      <c r="D182" s="409"/>
      <c r="E182" s="409"/>
      <c r="F182" s="409"/>
      <c r="G182" s="448"/>
      <c r="H182" s="91"/>
      <c r="I182" s="63"/>
      <c r="J182" s="89"/>
    </row>
    <row r="183" spans="1:21" s="380" customFormat="1" x14ac:dyDescent="0.2">
      <c r="A183" s="446" t="s">
        <v>668</v>
      </c>
      <c r="B183" s="447" t="s">
        <v>669</v>
      </c>
      <c r="C183" s="448">
        <v>3075</v>
      </c>
      <c r="D183" s="448"/>
      <c r="E183" s="448"/>
      <c r="F183" s="448"/>
      <c r="G183" s="448">
        <f>SUM(C183:F183)</f>
        <v>3075</v>
      </c>
      <c r="H183" s="419"/>
      <c r="I183" s="420">
        <v>3075</v>
      </c>
      <c r="J183" s="421">
        <f>SUM(G183-I183)</f>
        <v>0</v>
      </c>
      <c r="K183" s="375"/>
      <c r="L183" s="375"/>
      <c r="M183" s="375"/>
      <c r="N183" s="375"/>
      <c r="O183" s="375"/>
      <c r="P183" s="375"/>
      <c r="Q183" s="375"/>
      <c r="R183" s="375"/>
      <c r="S183" s="375"/>
      <c r="T183" s="375"/>
      <c r="U183" s="375"/>
    </row>
    <row r="184" spans="1:21" x14ac:dyDescent="0.2">
      <c r="A184" s="285"/>
      <c r="B184" s="296"/>
      <c r="C184" s="409"/>
      <c r="D184" s="409"/>
      <c r="E184" s="409"/>
      <c r="F184" s="409"/>
      <c r="G184" s="448"/>
      <c r="H184" s="91"/>
      <c r="I184" s="63"/>
      <c r="J184" s="89"/>
    </row>
    <row r="185" spans="1:21" x14ac:dyDescent="0.2">
      <c r="A185" s="459" t="s">
        <v>211</v>
      </c>
      <c r="B185" s="453">
        <v>3350</v>
      </c>
      <c r="C185" s="409"/>
      <c r="D185" s="409"/>
      <c r="E185" s="409"/>
      <c r="F185" s="409"/>
      <c r="G185" s="448"/>
      <c r="H185" s="91"/>
      <c r="I185" s="63"/>
      <c r="J185" s="89"/>
    </row>
    <row r="186" spans="1:21" s="380" customFormat="1" x14ac:dyDescent="0.2">
      <c r="A186" s="446" t="s">
        <v>132</v>
      </c>
      <c r="B186" s="447" t="s">
        <v>519</v>
      </c>
      <c r="C186" s="448">
        <v>150125</v>
      </c>
      <c r="D186" s="448"/>
      <c r="E186" s="448"/>
      <c r="F186" s="448"/>
      <c r="G186" s="448">
        <f t="shared" ref="G186:G189" si="29">SUM(C186:F186)</f>
        <v>150125</v>
      </c>
      <c r="H186" s="419"/>
      <c r="I186" s="420">
        <v>150125</v>
      </c>
      <c r="J186" s="421">
        <f>SUM(G186-I186)</f>
        <v>0</v>
      </c>
      <c r="K186" s="375"/>
      <c r="L186" s="375"/>
      <c r="M186" s="375"/>
      <c r="N186" s="375"/>
      <c r="O186" s="375"/>
      <c r="P186" s="375"/>
      <c r="Q186" s="375"/>
      <c r="R186" s="375"/>
      <c r="S186" s="375"/>
      <c r="T186" s="375"/>
      <c r="U186" s="375"/>
    </row>
    <row r="187" spans="1:21" s="380" customFormat="1" x14ac:dyDescent="0.2">
      <c r="A187" s="446" t="s">
        <v>212</v>
      </c>
      <c r="B187" s="447" t="s">
        <v>520</v>
      </c>
      <c r="C187" s="448">
        <v>500</v>
      </c>
      <c r="D187" s="448"/>
      <c r="E187" s="448"/>
      <c r="F187" s="448"/>
      <c r="G187" s="448">
        <f t="shared" si="29"/>
        <v>500</v>
      </c>
      <c r="H187" s="419"/>
      <c r="I187" s="420">
        <v>500</v>
      </c>
      <c r="J187" s="421">
        <f>SUM(G187-I187)</f>
        <v>0</v>
      </c>
      <c r="K187" s="375"/>
      <c r="L187" s="375"/>
      <c r="M187" s="375"/>
      <c r="N187" s="375"/>
      <c r="O187" s="375"/>
      <c r="P187" s="375"/>
      <c r="Q187" s="375"/>
      <c r="R187" s="375"/>
      <c r="S187" s="375"/>
      <c r="T187" s="375"/>
      <c r="U187" s="375"/>
    </row>
    <row r="188" spans="1:21" s="380" customFormat="1" x14ac:dyDescent="0.2">
      <c r="A188" s="446" t="s">
        <v>213</v>
      </c>
      <c r="B188" s="447" t="s">
        <v>522</v>
      </c>
      <c r="C188" s="448">
        <v>153537</v>
      </c>
      <c r="D188" s="448"/>
      <c r="E188" s="448"/>
      <c r="F188" s="448"/>
      <c r="G188" s="448">
        <f t="shared" si="29"/>
        <v>153537</v>
      </c>
      <c r="H188" s="419"/>
      <c r="I188" s="420">
        <v>153537</v>
      </c>
      <c r="J188" s="421">
        <f>SUM(G188-I188)</f>
        <v>0</v>
      </c>
      <c r="K188" s="375"/>
      <c r="L188" s="375"/>
      <c r="M188" s="375"/>
      <c r="N188" s="375"/>
      <c r="O188" s="375"/>
      <c r="P188" s="375"/>
      <c r="Q188" s="375"/>
      <c r="R188" s="375"/>
      <c r="S188" s="375"/>
      <c r="T188" s="375"/>
      <c r="U188" s="375"/>
    </row>
    <row r="189" spans="1:21" s="380" customFormat="1" x14ac:dyDescent="0.2">
      <c r="A189" s="446" t="s">
        <v>214</v>
      </c>
      <c r="B189" s="447" t="s">
        <v>521</v>
      </c>
      <c r="C189" s="448">
        <v>83000</v>
      </c>
      <c r="D189" s="448"/>
      <c r="E189" s="448"/>
      <c r="F189" s="448"/>
      <c r="G189" s="448">
        <f t="shared" si="29"/>
        <v>83000</v>
      </c>
      <c r="H189" s="419"/>
      <c r="I189" s="420">
        <v>83000</v>
      </c>
      <c r="J189" s="421">
        <f>SUM(G189-I189)</f>
        <v>0</v>
      </c>
      <c r="K189" s="375"/>
      <c r="L189" s="375"/>
      <c r="M189" s="375"/>
      <c r="N189" s="375"/>
      <c r="O189" s="375"/>
      <c r="P189" s="375"/>
      <c r="Q189" s="375"/>
      <c r="R189" s="375"/>
      <c r="S189" s="375"/>
      <c r="T189" s="375"/>
      <c r="U189" s="375"/>
    </row>
    <row r="190" spans="1:21" x14ac:dyDescent="0.2">
      <c r="A190" s="285"/>
      <c r="B190" s="296"/>
      <c r="C190" s="409"/>
      <c r="D190" s="409"/>
      <c r="E190" s="409"/>
      <c r="F190" s="409"/>
      <c r="G190" s="448"/>
      <c r="H190" s="91"/>
      <c r="I190" s="63"/>
      <c r="J190" s="89"/>
    </row>
    <row r="191" spans="1:21" x14ac:dyDescent="0.2">
      <c r="A191" s="463" t="s">
        <v>600</v>
      </c>
      <c r="B191" s="453" t="s">
        <v>193</v>
      </c>
      <c r="C191" s="409"/>
      <c r="D191" s="409"/>
      <c r="E191" s="409"/>
      <c r="F191" s="409"/>
      <c r="G191" s="448"/>
      <c r="H191" s="91"/>
      <c r="I191" s="63"/>
      <c r="J191" s="89"/>
    </row>
    <row r="192" spans="1:21" s="380" customFormat="1" x14ac:dyDescent="0.2">
      <c r="A192" s="446" t="s">
        <v>218</v>
      </c>
      <c r="B192" s="447" t="s">
        <v>523</v>
      </c>
      <c r="C192" s="448">
        <v>861582.09</v>
      </c>
      <c r="D192" s="448"/>
      <c r="E192" s="448"/>
      <c r="F192" s="448"/>
      <c r="G192" s="448">
        <f t="shared" ref="G192:G209" si="30">SUM(C192:F192)</f>
        <v>861582.09</v>
      </c>
      <c r="H192" s="419"/>
      <c r="I192" s="420">
        <v>661582.09</v>
      </c>
      <c r="J192" s="421">
        <f>SUM(G192-I192)</f>
        <v>200000</v>
      </c>
      <c r="K192" s="375"/>
      <c r="L192" s="375"/>
      <c r="M192" s="375"/>
      <c r="N192" s="375"/>
      <c r="O192" s="375"/>
      <c r="P192" s="375"/>
      <c r="Q192" s="375"/>
      <c r="R192" s="375"/>
      <c r="S192" s="375"/>
      <c r="T192" s="375"/>
      <c r="U192" s="375"/>
    </row>
    <row r="193" spans="1:21" s="380" customFormat="1" x14ac:dyDescent="0.2">
      <c r="A193" s="446" t="s">
        <v>339</v>
      </c>
      <c r="B193" s="447" t="s">
        <v>524</v>
      </c>
      <c r="C193" s="448"/>
      <c r="D193" s="448"/>
      <c r="E193" s="448">
        <f>Utilities!C55</f>
        <v>98292</v>
      </c>
      <c r="F193" s="448"/>
      <c r="G193" s="448">
        <f t="shared" si="30"/>
        <v>98292</v>
      </c>
      <c r="H193" s="419"/>
      <c r="I193" s="420">
        <v>101052</v>
      </c>
      <c r="J193" s="421">
        <f>SUM(G193-I193)</f>
        <v>-2760</v>
      </c>
      <c r="K193" s="375"/>
      <c r="L193" s="375"/>
      <c r="M193" s="375"/>
      <c r="N193" s="375"/>
      <c r="O193" s="375"/>
      <c r="P193" s="375"/>
      <c r="Q193" s="375"/>
      <c r="R193" s="375"/>
      <c r="S193" s="375"/>
      <c r="T193" s="375"/>
      <c r="U193" s="375"/>
    </row>
    <row r="194" spans="1:21" s="380" customFormat="1" x14ac:dyDescent="0.2">
      <c r="A194" s="446" t="s">
        <v>745</v>
      </c>
      <c r="B194" s="447" t="s">
        <v>746</v>
      </c>
      <c r="C194" s="448"/>
      <c r="D194" s="448"/>
      <c r="E194" s="448">
        <f>Utilities!C54</f>
        <v>8320</v>
      </c>
      <c r="F194" s="448"/>
      <c r="G194" s="448">
        <f t="shared" si="30"/>
        <v>8320</v>
      </c>
      <c r="H194" s="419"/>
      <c r="I194" s="420">
        <v>5000</v>
      </c>
      <c r="J194" s="421">
        <f>SUM(G194-I194)</f>
        <v>3320</v>
      </c>
      <c r="K194" s="375"/>
      <c r="L194" s="375"/>
      <c r="M194" s="375"/>
      <c r="N194" s="375"/>
      <c r="O194" s="375"/>
      <c r="P194" s="375"/>
      <c r="Q194" s="375"/>
      <c r="R194" s="375"/>
      <c r="S194" s="375"/>
      <c r="T194" s="375"/>
      <c r="U194" s="375"/>
    </row>
    <row r="195" spans="1:21" s="380" customFormat="1" x14ac:dyDescent="0.2">
      <c r="A195" s="446" t="s">
        <v>73</v>
      </c>
      <c r="B195" s="447" t="s">
        <v>525</v>
      </c>
      <c r="C195" s="448"/>
      <c r="D195" s="448">
        <f>Telephone!C54</f>
        <v>0</v>
      </c>
      <c r="E195" s="448">
        <f>Utilities!C49</f>
        <v>500</v>
      </c>
      <c r="F195" s="448"/>
      <c r="G195" s="448">
        <f t="shared" si="30"/>
        <v>500</v>
      </c>
      <c r="H195" s="419"/>
      <c r="I195" s="420">
        <v>3390</v>
      </c>
      <c r="J195" s="421">
        <f t="shared" ref="J195:J203" si="31">SUM(G195-I195)</f>
        <v>-2890</v>
      </c>
      <c r="K195" s="375"/>
      <c r="L195" s="375"/>
      <c r="M195" s="375"/>
      <c r="N195" s="375"/>
      <c r="O195" s="375"/>
      <c r="P195" s="375"/>
      <c r="Q195" s="375"/>
      <c r="R195" s="375"/>
      <c r="S195" s="375"/>
      <c r="T195" s="375"/>
      <c r="U195" s="375"/>
    </row>
    <row r="196" spans="1:21" s="380" customFormat="1" x14ac:dyDescent="0.2">
      <c r="A196" s="446" t="s">
        <v>815</v>
      </c>
      <c r="B196" s="447" t="s">
        <v>747</v>
      </c>
      <c r="C196" s="448"/>
      <c r="D196" s="448">
        <f>Telephone!C52+Telephone!D52</f>
        <v>3524</v>
      </c>
      <c r="E196" s="448">
        <f>Utilities!C46</f>
        <v>48630</v>
      </c>
      <c r="F196" s="448">
        <f>'13-Custodial'!H45</f>
        <v>2006.91</v>
      </c>
      <c r="G196" s="448">
        <f t="shared" si="30"/>
        <v>54160.91</v>
      </c>
      <c r="H196" s="419"/>
      <c r="I196" s="420">
        <v>62530.91</v>
      </c>
      <c r="J196" s="421">
        <f t="shared" si="31"/>
        <v>-8370</v>
      </c>
      <c r="K196" s="375"/>
      <c r="L196" s="375"/>
      <c r="M196" s="375"/>
      <c r="N196" s="375"/>
      <c r="O196" s="375"/>
      <c r="P196" s="375"/>
      <c r="Q196" s="375"/>
      <c r="R196" s="375"/>
      <c r="S196" s="375"/>
      <c r="T196" s="375"/>
      <c r="U196" s="375"/>
    </row>
    <row r="197" spans="1:21" s="380" customFormat="1" x14ac:dyDescent="0.2">
      <c r="A197" s="446" t="s">
        <v>72</v>
      </c>
      <c r="B197" s="447" t="s">
        <v>526</v>
      </c>
      <c r="C197" s="448"/>
      <c r="D197" s="448">
        <f>Telephone!C55</f>
        <v>3060</v>
      </c>
      <c r="E197" s="448"/>
      <c r="F197" s="448"/>
      <c r="G197" s="448">
        <f t="shared" si="30"/>
        <v>3060</v>
      </c>
      <c r="H197" s="419"/>
      <c r="I197" s="420">
        <v>3060</v>
      </c>
      <c r="J197" s="421">
        <f t="shared" si="31"/>
        <v>0</v>
      </c>
      <c r="K197" s="375"/>
      <c r="L197" s="375"/>
      <c r="M197" s="375"/>
      <c r="N197" s="375"/>
      <c r="O197" s="375"/>
      <c r="P197" s="375"/>
      <c r="Q197" s="375"/>
      <c r="R197" s="375"/>
      <c r="S197" s="375"/>
      <c r="T197" s="375"/>
      <c r="U197" s="375"/>
    </row>
    <row r="198" spans="1:21" s="380" customFormat="1" x14ac:dyDescent="0.2">
      <c r="A198" s="446" t="s">
        <v>338</v>
      </c>
      <c r="B198" s="447" t="s">
        <v>527</v>
      </c>
      <c r="C198" s="448"/>
      <c r="D198" s="448"/>
      <c r="E198" s="448">
        <f>Utilities!C50</f>
        <v>650</v>
      </c>
      <c r="F198" s="448"/>
      <c r="G198" s="448">
        <f t="shared" si="30"/>
        <v>650</v>
      </c>
      <c r="H198" s="419"/>
      <c r="I198" s="420">
        <v>500</v>
      </c>
      <c r="J198" s="421">
        <f t="shared" si="31"/>
        <v>150</v>
      </c>
      <c r="K198" s="375"/>
      <c r="L198" s="375"/>
      <c r="M198" s="375"/>
      <c r="N198" s="375"/>
      <c r="O198" s="375"/>
      <c r="P198" s="375"/>
      <c r="Q198" s="375"/>
      <c r="R198" s="375"/>
      <c r="S198" s="375"/>
      <c r="T198" s="375"/>
      <c r="U198" s="375"/>
    </row>
    <row r="199" spans="1:21" s="380" customFormat="1" x14ac:dyDescent="0.2">
      <c r="A199" s="446" t="s">
        <v>319</v>
      </c>
      <c r="B199" s="447"/>
      <c r="C199" s="448"/>
      <c r="D199" s="448"/>
      <c r="E199" s="448"/>
      <c r="F199" s="448"/>
      <c r="G199" s="448">
        <f t="shared" si="30"/>
        <v>0</v>
      </c>
      <c r="H199" s="419"/>
      <c r="I199" s="420"/>
      <c r="J199" s="421"/>
      <c r="K199" s="375"/>
      <c r="L199" s="375"/>
      <c r="M199" s="375"/>
      <c r="N199" s="375"/>
      <c r="O199" s="375"/>
      <c r="P199" s="375"/>
      <c r="Q199" s="375"/>
      <c r="R199" s="375"/>
      <c r="S199" s="375"/>
      <c r="T199" s="375"/>
      <c r="U199" s="375"/>
    </row>
    <row r="200" spans="1:21" s="380" customFormat="1" x14ac:dyDescent="0.2">
      <c r="A200" s="446" t="s">
        <v>320</v>
      </c>
      <c r="B200" s="447" t="s">
        <v>528</v>
      </c>
      <c r="C200" s="448">
        <v>1700</v>
      </c>
      <c r="D200" s="448"/>
      <c r="E200" s="448"/>
      <c r="F200" s="448"/>
      <c r="G200" s="448">
        <f t="shared" si="30"/>
        <v>1700</v>
      </c>
      <c r="H200" s="419"/>
      <c r="I200" s="420">
        <v>1700</v>
      </c>
      <c r="J200" s="421">
        <f>SUM(G200-I200)</f>
        <v>0</v>
      </c>
      <c r="K200" s="375"/>
      <c r="L200" s="375"/>
      <c r="M200" s="375"/>
      <c r="N200" s="375"/>
      <c r="O200" s="375"/>
      <c r="P200" s="375"/>
      <c r="Q200" s="375"/>
      <c r="R200" s="375"/>
      <c r="S200" s="375"/>
      <c r="T200" s="375"/>
      <c r="U200" s="375"/>
    </row>
    <row r="201" spans="1:21" s="380" customFormat="1" x14ac:dyDescent="0.2">
      <c r="A201" s="685" t="s">
        <v>949</v>
      </c>
      <c r="B201" s="447" t="s">
        <v>950</v>
      </c>
      <c r="C201" s="448">
        <v>1300.18</v>
      </c>
      <c r="D201" s="448"/>
      <c r="E201" s="448"/>
      <c r="F201" s="448"/>
      <c r="G201" s="448">
        <f t="shared" si="30"/>
        <v>1300.18</v>
      </c>
      <c r="H201" s="419"/>
      <c r="I201" s="420">
        <v>1300.18</v>
      </c>
      <c r="J201" s="421">
        <f>SUM(G201-I201)</f>
        <v>0</v>
      </c>
      <c r="K201" s="375"/>
      <c r="L201" s="375"/>
      <c r="M201" s="375"/>
      <c r="N201" s="375"/>
      <c r="O201" s="375"/>
      <c r="P201" s="375"/>
      <c r="Q201" s="375"/>
      <c r="R201" s="375"/>
      <c r="S201" s="375"/>
      <c r="T201" s="375"/>
      <c r="U201" s="375"/>
    </row>
    <row r="202" spans="1:21" s="380" customFormat="1" x14ac:dyDescent="0.2">
      <c r="A202" s="446" t="s">
        <v>808</v>
      </c>
      <c r="B202" s="447" t="s">
        <v>893</v>
      </c>
      <c r="C202" s="448">
        <v>15.2</v>
      </c>
      <c r="D202" s="448"/>
      <c r="E202" s="448"/>
      <c r="F202" s="448"/>
      <c r="G202" s="448">
        <f t="shared" si="30"/>
        <v>15.2</v>
      </c>
      <c r="H202" s="419"/>
      <c r="I202" s="420">
        <v>15.2</v>
      </c>
      <c r="J202" s="421">
        <f>SUM(G202-I202)</f>
        <v>0</v>
      </c>
      <c r="K202" s="375"/>
      <c r="L202" s="375"/>
      <c r="M202" s="375"/>
      <c r="N202" s="375"/>
      <c r="O202" s="375"/>
      <c r="P202" s="375"/>
      <c r="Q202" s="375"/>
      <c r="R202" s="375"/>
      <c r="S202" s="375"/>
      <c r="T202" s="375"/>
      <c r="U202" s="375"/>
    </row>
    <row r="203" spans="1:21" s="380" customFormat="1" ht="25.5" x14ac:dyDescent="0.2">
      <c r="A203" s="451" t="s">
        <v>632</v>
      </c>
      <c r="B203" s="447" t="s">
        <v>609</v>
      </c>
      <c r="C203" s="448">
        <v>17100</v>
      </c>
      <c r="D203" s="448"/>
      <c r="E203" s="448"/>
      <c r="F203" s="448"/>
      <c r="G203" s="448">
        <f t="shared" si="30"/>
        <v>17100</v>
      </c>
      <c r="H203" s="419"/>
      <c r="I203" s="554">
        <v>17100</v>
      </c>
      <c r="J203" s="522">
        <f t="shared" si="31"/>
        <v>0</v>
      </c>
      <c r="K203" s="375"/>
      <c r="L203" s="375"/>
      <c r="M203" s="375"/>
      <c r="N203" s="375"/>
      <c r="O203" s="375"/>
      <c r="P203" s="375"/>
      <c r="Q203" s="375"/>
      <c r="R203" s="375"/>
      <c r="S203" s="375"/>
      <c r="T203" s="375"/>
      <c r="U203" s="375"/>
    </row>
    <row r="204" spans="1:21" s="380" customFormat="1" x14ac:dyDescent="0.2">
      <c r="A204" s="446" t="s">
        <v>663</v>
      </c>
      <c r="B204" s="447" t="s">
        <v>664</v>
      </c>
      <c r="C204" s="448">
        <v>22060</v>
      </c>
      <c r="D204" s="448"/>
      <c r="E204" s="448">
        <f>Utilities!C44</f>
        <v>3000</v>
      </c>
      <c r="F204" s="448"/>
      <c r="G204" s="448">
        <f t="shared" si="30"/>
        <v>25060</v>
      </c>
      <c r="H204" s="419"/>
      <c r="I204" s="420">
        <v>25060</v>
      </c>
      <c r="J204" s="424">
        <f>SUM(G204-I204)</f>
        <v>0</v>
      </c>
      <c r="K204" s="375"/>
      <c r="L204" s="375"/>
      <c r="M204" s="375"/>
      <c r="N204" s="375"/>
      <c r="O204" s="375"/>
      <c r="P204" s="375"/>
      <c r="Q204" s="375"/>
      <c r="R204" s="375"/>
      <c r="S204" s="375"/>
      <c r="T204" s="375"/>
      <c r="U204" s="375"/>
    </row>
    <row r="205" spans="1:21" s="380" customFormat="1" x14ac:dyDescent="0.2">
      <c r="A205" s="446" t="s">
        <v>786</v>
      </c>
      <c r="B205" s="447"/>
      <c r="C205" s="448"/>
      <c r="D205" s="448"/>
      <c r="E205" s="448"/>
      <c r="F205" s="448"/>
      <c r="G205" s="448">
        <f t="shared" si="30"/>
        <v>0</v>
      </c>
      <c r="H205" s="419"/>
      <c r="I205" s="420"/>
      <c r="J205" s="424"/>
      <c r="K205" s="375"/>
      <c r="L205" s="375"/>
      <c r="M205" s="375"/>
      <c r="N205" s="375"/>
      <c r="O205" s="375"/>
      <c r="P205" s="375"/>
      <c r="Q205" s="375"/>
      <c r="R205" s="375"/>
      <c r="S205" s="375"/>
      <c r="T205" s="375"/>
      <c r="U205" s="375"/>
    </row>
    <row r="206" spans="1:21" s="380" customFormat="1" x14ac:dyDescent="0.2">
      <c r="A206" s="446" t="s">
        <v>633</v>
      </c>
      <c r="B206" s="447" t="s">
        <v>628</v>
      </c>
      <c r="C206" s="448">
        <v>1000</v>
      </c>
      <c r="D206" s="448"/>
      <c r="E206" s="448"/>
      <c r="F206" s="448"/>
      <c r="G206" s="448">
        <f t="shared" si="30"/>
        <v>1000</v>
      </c>
      <c r="H206" s="419"/>
      <c r="I206" s="420">
        <v>1000</v>
      </c>
      <c r="J206" s="424">
        <f>SUM(G206-I206)</f>
        <v>0</v>
      </c>
      <c r="K206" s="375"/>
      <c r="L206" s="375"/>
      <c r="M206" s="375"/>
      <c r="N206" s="375"/>
      <c r="O206" s="375"/>
      <c r="P206" s="375"/>
      <c r="Q206" s="375"/>
      <c r="R206" s="375"/>
      <c r="S206" s="375"/>
      <c r="T206" s="375"/>
      <c r="U206" s="375"/>
    </row>
    <row r="207" spans="1:21" s="380" customFormat="1" x14ac:dyDescent="0.2">
      <c r="A207" s="446" t="s">
        <v>634</v>
      </c>
      <c r="B207" s="447" t="s">
        <v>674</v>
      </c>
      <c r="C207" s="448">
        <v>100</v>
      </c>
      <c r="D207" s="448"/>
      <c r="E207" s="448"/>
      <c r="F207" s="448"/>
      <c r="G207" s="448">
        <f t="shared" si="30"/>
        <v>100</v>
      </c>
      <c r="H207" s="419"/>
      <c r="I207" s="420">
        <v>100</v>
      </c>
      <c r="J207" s="424">
        <f>SUM(G207-I207)</f>
        <v>0</v>
      </c>
      <c r="K207" s="375"/>
      <c r="L207" s="375"/>
      <c r="M207" s="375"/>
      <c r="N207" s="375"/>
      <c r="O207" s="375"/>
      <c r="P207" s="375"/>
      <c r="Q207" s="375"/>
      <c r="R207" s="375"/>
      <c r="S207" s="375"/>
      <c r="T207" s="375"/>
      <c r="U207" s="375"/>
    </row>
    <row r="208" spans="1:21" s="380" customFormat="1" x14ac:dyDescent="0.2">
      <c r="A208" s="446" t="s">
        <v>635</v>
      </c>
      <c r="B208" s="447" t="s">
        <v>627</v>
      </c>
      <c r="C208" s="448">
        <v>2100</v>
      </c>
      <c r="D208" s="448"/>
      <c r="E208" s="448"/>
      <c r="F208" s="448"/>
      <c r="G208" s="448">
        <f t="shared" si="30"/>
        <v>2100</v>
      </c>
      <c r="H208" s="419"/>
      <c r="I208" s="420">
        <v>2100</v>
      </c>
      <c r="J208" s="424">
        <f>SUM(G208-I208)</f>
        <v>0</v>
      </c>
      <c r="K208" s="375"/>
      <c r="L208" s="375"/>
      <c r="M208" s="375"/>
      <c r="N208" s="375"/>
      <c r="O208" s="375"/>
      <c r="P208" s="375"/>
      <c r="Q208" s="375"/>
      <c r="R208" s="375"/>
      <c r="S208" s="375"/>
      <c r="T208" s="375"/>
      <c r="U208" s="375"/>
    </row>
    <row r="209" spans="1:21" x14ac:dyDescent="0.2">
      <c r="A209" s="446" t="s">
        <v>1273</v>
      </c>
      <c r="B209" s="447" t="s">
        <v>1274</v>
      </c>
      <c r="C209" s="448">
        <v>5478.6</v>
      </c>
      <c r="D209" s="452"/>
      <c r="E209" s="452"/>
      <c r="F209" s="452"/>
      <c r="G209" s="448">
        <f t="shared" si="30"/>
        <v>5478.6</v>
      </c>
      <c r="H209" s="91"/>
      <c r="I209" s="420">
        <v>0</v>
      </c>
      <c r="J209" s="421">
        <f>SUM(G209-I209)</f>
        <v>5478.6</v>
      </c>
    </row>
    <row r="210" spans="1:21" s="380" customFormat="1" x14ac:dyDescent="0.2">
      <c r="A210" s="446" t="s">
        <v>215</v>
      </c>
      <c r="B210" s="447" t="s">
        <v>529</v>
      </c>
      <c r="C210" s="448"/>
      <c r="D210" s="448"/>
      <c r="E210" s="448"/>
      <c r="F210" s="448">
        <f>'13-Custodial'!H49</f>
        <v>25287.7</v>
      </c>
      <c r="G210" s="448">
        <f>SUM(C210:F210)</f>
        <v>25287.7</v>
      </c>
      <c r="H210" s="419"/>
      <c r="I210" s="420">
        <v>25287.7</v>
      </c>
      <c r="J210" s="421">
        <f>SUM(G210-I210)</f>
        <v>0</v>
      </c>
      <c r="K210" s="375"/>
      <c r="L210" s="375"/>
      <c r="M210" s="375"/>
      <c r="N210" s="375"/>
      <c r="O210" s="375"/>
      <c r="P210" s="375"/>
      <c r="Q210" s="375"/>
      <c r="R210" s="375"/>
      <c r="S210" s="375"/>
      <c r="T210" s="375"/>
      <c r="U210" s="375"/>
    </row>
    <row r="211" spans="1:21" s="380" customFormat="1" x14ac:dyDescent="0.2">
      <c r="A211" s="446"/>
      <c r="B211" s="447"/>
      <c r="C211" s="448"/>
      <c r="D211" s="448"/>
      <c r="E211" s="448"/>
      <c r="F211" s="448"/>
      <c r="G211" s="448"/>
      <c r="H211" s="419"/>
      <c r="I211" s="420"/>
      <c r="J211" s="421"/>
      <c r="K211" s="375"/>
      <c r="L211" s="375"/>
      <c r="M211" s="375"/>
      <c r="N211" s="375"/>
      <c r="O211" s="375"/>
      <c r="P211" s="375"/>
      <c r="Q211" s="375"/>
      <c r="R211" s="375"/>
      <c r="S211" s="375"/>
      <c r="T211" s="375"/>
      <c r="U211" s="375"/>
    </row>
    <row r="212" spans="1:21" x14ac:dyDescent="0.2">
      <c r="A212" s="189" t="s">
        <v>216</v>
      </c>
      <c r="B212" s="453" t="s">
        <v>687</v>
      </c>
      <c r="C212" s="452"/>
      <c r="D212" s="452"/>
      <c r="E212" s="452"/>
      <c r="F212" s="452"/>
      <c r="G212" s="448"/>
      <c r="H212" s="91"/>
      <c r="I212" s="63"/>
      <c r="J212" s="89"/>
    </row>
    <row r="213" spans="1:21" s="380" customFormat="1" x14ac:dyDescent="0.2">
      <c r="A213" s="446" t="s">
        <v>217</v>
      </c>
      <c r="B213" s="447" t="s">
        <v>686</v>
      </c>
      <c r="C213" s="448">
        <v>0</v>
      </c>
      <c r="D213" s="448"/>
      <c r="E213" s="448">
        <f>Utilities!C47</f>
        <v>78940</v>
      </c>
      <c r="F213" s="448">
        <f>'13-Custodial'!H46</f>
        <v>3419.18</v>
      </c>
      <c r="G213" s="448">
        <f t="shared" ref="G213:G226" si="32">SUM(C213:F213)</f>
        <v>82359.179999999993</v>
      </c>
      <c r="H213" s="419"/>
      <c r="I213" s="420">
        <v>86419.18</v>
      </c>
      <c r="J213" s="421">
        <f>SUM(G213-I213)</f>
        <v>-4060</v>
      </c>
      <c r="K213" s="375"/>
      <c r="L213" s="375"/>
      <c r="M213" s="375"/>
      <c r="N213" s="375"/>
      <c r="O213" s="375"/>
      <c r="P213" s="375"/>
      <c r="Q213" s="375"/>
      <c r="R213" s="375"/>
      <c r="S213" s="375"/>
      <c r="T213" s="375"/>
      <c r="U213" s="375"/>
    </row>
    <row r="214" spans="1:21" s="380" customFormat="1" x14ac:dyDescent="0.2">
      <c r="A214" s="446" t="s">
        <v>71</v>
      </c>
      <c r="B214" s="447" t="s">
        <v>843</v>
      </c>
      <c r="C214" s="448">
        <v>80</v>
      </c>
      <c r="D214" s="448">
        <f>Telephone!C49</f>
        <v>15420</v>
      </c>
      <c r="E214" s="448">
        <f>Utilities!C45</f>
        <v>59570</v>
      </c>
      <c r="F214" s="448">
        <f>'13-Custodial'!H44</f>
        <v>2246.48</v>
      </c>
      <c r="G214" s="448">
        <f t="shared" si="32"/>
        <v>77316.479999999996</v>
      </c>
      <c r="H214" s="419"/>
      <c r="I214" s="420">
        <v>60746.48</v>
      </c>
      <c r="J214" s="421">
        <f>SUM(G214-I214)</f>
        <v>16569.999999999993</v>
      </c>
      <c r="K214" s="375"/>
      <c r="L214" s="375"/>
      <c r="M214" s="375"/>
      <c r="N214" s="375"/>
      <c r="O214" s="375"/>
      <c r="P214" s="375"/>
      <c r="Q214" s="375"/>
      <c r="R214" s="375"/>
      <c r="S214" s="375"/>
      <c r="T214" s="375"/>
      <c r="U214" s="375"/>
    </row>
    <row r="215" spans="1:21" s="380" customFormat="1" x14ac:dyDescent="0.2">
      <c r="A215" s="446" t="s">
        <v>70</v>
      </c>
      <c r="B215" s="447" t="s">
        <v>717</v>
      </c>
      <c r="C215" s="448">
        <v>182975</v>
      </c>
      <c r="D215" s="448">
        <f>Telephone!C53+Telephone!D53</f>
        <v>7803</v>
      </c>
      <c r="E215" s="448">
        <f>Utilities!C48</f>
        <v>32410</v>
      </c>
      <c r="F215" s="448">
        <f>'13-Custodial'!H48</f>
        <v>1748.24</v>
      </c>
      <c r="G215" s="448">
        <f t="shared" si="32"/>
        <v>224936.24</v>
      </c>
      <c r="H215" s="419"/>
      <c r="I215" s="420">
        <v>219026.24</v>
      </c>
      <c r="J215" s="421">
        <f>SUM(G215-I215)</f>
        <v>5910</v>
      </c>
      <c r="K215" s="375"/>
      <c r="L215" s="375"/>
      <c r="M215" s="375"/>
      <c r="N215" s="375"/>
      <c r="O215" s="375"/>
      <c r="P215" s="375"/>
      <c r="Q215" s="375"/>
      <c r="R215" s="375"/>
      <c r="S215" s="375"/>
      <c r="T215" s="375"/>
      <c r="U215" s="375"/>
    </row>
    <row r="216" spans="1:21" s="380" customFormat="1" x14ac:dyDescent="0.2">
      <c r="A216" s="446" t="s">
        <v>780</v>
      </c>
      <c r="B216" s="447" t="s">
        <v>530</v>
      </c>
      <c r="C216" s="448">
        <v>15380</v>
      </c>
      <c r="D216" s="448"/>
      <c r="E216" s="448"/>
      <c r="F216" s="448"/>
      <c r="G216" s="448">
        <f t="shared" si="32"/>
        <v>15380</v>
      </c>
      <c r="H216" s="419"/>
      <c r="I216" s="420">
        <v>15380</v>
      </c>
      <c r="J216" s="421">
        <f>SUM(G216-I216)</f>
        <v>0</v>
      </c>
      <c r="K216" s="375"/>
      <c r="L216" s="375"/>
      <c r="M216" s="375"/>
      <c r="N216" s="375"/>
      <c r="O216" s="375"/>
      <c r="P216" s="375"/>
      <c r="Q216" s="375"/>
      <c r="R216" s="375"/>
      <c r="S216" s="375"/>
      <c r="T216" s="375"/>
      <c r="U216" s="375"/>
    </row>
    <row r="217" spans="1:21" s="380" customFormat="1" x14ac:dyDescent="0.2">
      <c r="A217" s="446" t="s">
        <v>3</v>
      </c>
      <c r="B217" s="447"/>
      <c r="C217" s="448"/>
      <c r="D217" s="448"/>
      <c r="E217" s="448"/>
      <c r="F217" s="448"/>
      <c r="G217" s="448">
        <f t="shared" si="32"/>
        <v>0</v>
      </c>
      <c r="H217" s="419"/>
      <c r="I217" s="420"/>
      <c r="J217" s="421"/>
      <c r="K217" s="375"/>
      <c r="L217" s="375"/>
      <c r="M217" s="375"/>
      <c r="N217" s="375"/>
      <c r="O217" s="375"/>
      <c r="P217" s="375"/>
      <c r="Q217" s="375"/>
      <c r="R217" s="375"/>
      <c r="S217" s="375"/>
      <c r="T217" s="375"/>
      <c r="U217" s="375"/>
    </row>
    <row r="218" spans="1:21" s="380" customFormat="1" x14ac:dyDescent="0.2">
      <c r="A218" s="446" t="s">
        <v>362</v>
      </c>
      <c r="B218" s="447" t="s">
        <v>531</v>
      </c>
      <c r="C218" s="448">
        <v>102600</v>
      </c>
      <c r="D218" s="448"/>
      <c r="E218" s="448"/>
      <c r="F218" s="448"/>
      <c r="G218" s="448">
        <f t="shared" si="32"/>
        <v>102600</v>
      </c>
      <c r="H218" s="419"/>
      <c r="I218" s="420">
        <v>102600</v>
      </c>
      <c r="J218" s="421">
        <f>SUM(G218-I218)</f>
        <v>0</v>
      </c>
      <c r="K218" s="375"/>
      <c r="L218" s="375"/>
      <c r="M218" s="375"/>
      <c r="N218" s="375"/>
      <c r="O218" s="375"/>
      <c r="P218" s="375"/>
      <c r="Q218" s="375"/>
      <c r="R218" s="375"/>
      <c r="S218" s="375"/>
      <c r="T218" s="375"/>
      <c r="U218" s="375"/>
    </row>
    <row r="219" spans="1:21" s="380" customFormat="1" x14ac:dyDescent="0.2">
      <c r="A219" s="446" t="s">
        <v>363</v>
      </c>
      <c r="B219" s="447" t="s">
        <v>532</v>
      </c>
      <c r="C219" s="448">
        <v>42750</v>
      </c>
      <c r="D219" s="448"/>
      <c r="E219" s="448"/>
      <c r="F219" s="448"/>
      <c r="G219" s="448">
        <f t="shared" si="32"/>
        <v>42750</v>
      </c>
      <c r="H219" s="419"/>
      <c r="I219" s="420">
        <v>42750</v>
      </c>
      <c r="J219" s="421">
        <f>SUM(G219-I219)</f>
        <v>0</v>
      </c>
      <c r="K219" s="375"/>
      <c r="L219" s="375"/>
      <c r="M219" s="375"/>
      <c r="N219" s="375"/>
      <c r="O219" s="375"/>
      <c r="P219" s="375"/>
      <c r="Q219" s="375"/>
      <c r="R219" s="375"/>
      <c r="S219" s="375"/>
      <c r="T219" s="375"/>
      <c r="U219" s="375"/>
    </row>
    <row r="220" spans="1:21" s="380" customFormat="1" x14ac:dyDescent="0.2">
      <c r="A220" s="446" t="s">
        <v>364</v>
      </c>
      <c r="B220" s="447" t="s">
        <v>533</v>
      </c>
      <c r="C220" s="448">
        <v>42750</v>
      </c>
      <c r="D220" s="448"/>
      <c r="E220" s="448"/>
      <c r="F220" s="448"/>
      <c r="G220" s="448">
        <f t="shared" si="32"/>
        <v>42750</v>
      </c>
      <c r="H220" s="419"/>
      <c r="I220" s="420">
        <v>42750</v>
      </c>
      <c r="J220" s="421">
        <f>SUM(G220-I220)</f>
        <v>0</v>
      </c>
      <c r="K220" s="375"/>
      <c r="L220" s="375"/>
      <c r="M220" s="375"/>
      <c r="N220" s="375"/>
      <c r="O220" s="375"/>
      <c r="P220" s="375"/>
      <c r="Q220" s="375"/>
      <c r="R220" s="375"/>
      <c r="S220" s="375"/>
      <c r="T220" s="375"/>
      <c r="U220" s="375"/>
    </row>
    <row r="221" spans="1:21" s="380" customFormat="1" x14ac:dyDescent="0.2">
      <c r="A221" s="446" t="s">
        <v>361</v>
      </c>
      <c r="B221" s="447" t="s">
        <v>534</v>
      </c>
      <c r="C221" s="448">
        <v>8550</v>
      </c>
      <c r="D221" s="448"/>
      <c r="E221" s="448"/>
      <c r="F221" s="448"/>
      <c r="G221" s="448">
        <f t="shared" si="32"/>
        <v>8550</v>
      </c>
      <c r="H221" s="419"/>
      <c r="I221" s="420">
        <v>8550</v>
      </c>
      <c r="J221" s="421">
        <f>SUM(G221-I221)</f>
        <v>0</v>
      </c>
      <c r="K221" s="375"/>
      <c r="L221" s="375"/>
      <c r="M221" s="375"/>
      <c r="N221" s="375"/>
      <c r="O221" s="375"/>
      <c r="P221" s="375"/>
      <c r="Q221" s="375"/>
      <c r="R221" s="375"/>
      <c r="S221" s="375"/>
      <c r="T221" s="375"/>
      <c r="U221" s="375"/>
    </row>
    <row r="222" spans="1:21" s="380" customFormat="1" x14ac:dyDescent="0.2">
      <c r="A222" s="446" t="s">
        <v>219</v>
      </c>
      <c r="B222" s="447" t="s">
        <v>535</v>
      </c>
      <c r="C222" s="448">
        <v>22185</v>
      </c>
      <c r="D222" s="448"/>
      <c r="E222" s="448"/>
      <c r="F222" s="448"/>
      <c r="G222" s="448">
        <f t="shared" si="32"/>
        <v>22185</v>
      </c>
      <c r="H222" s="419"/>
      <c r="I222" s="420">
        <v>22185</v>
      </c>
      <c r="J222" s="421">
        <f t="shared" ref="J222:J226" si="33">SUM(G222-I222)</f>
        <v>0</v>
      </c>
      <c r="K222" s="375"/>
      <c r="L222" s="375"/>
      <c r="M222" s="375"/>
      <c r="N222" s="375"/>
      <c r="O222" s="375"/>
      <c r="P222" s="375"/>
      <c r="Q222" s="375"/>
      <c r="R222" s="375"/>
      <c r="S222" s="375"/>
      <c r="T222" s="375"/>
      <c r="U222" s="375"/>
    </row>
    <row r="223" spans="1:21" s="380" customFormat="1" x14ac:dyDescent="0.2">
      <c r="A223" s="446" t="s">
        <v>414</v>
      </c>
      <c r="B223" s="447" t="s">
        <v>536</v>
      </c>
      <c r="C223" s="448">
        <v>44460</v>
      </c>
      <c r="D223" s="448"/>
      <c r="E223" s="448"/>
      <c r="F223" s="448"/>
      <c r="G223" s="448">
        <f t="shared" si="32"/>
        <v>44460</v>
      </c>
      <c r="H223" s="419"/>
      <c r="I223" s="420">
        <v>44460</v>
      </c>
      <c r="J223" s="421">
        <f t="shared" si="33"/>
        <v>0</v>
      </c>
      <c r="K223" s="375"/>
      <c r="L223" s="375"/>
      <c r="M223" s="375"/>
      <c r="N223" s="375"/>
      <c r="O223" s="375"/>
      <c r="P223" s="375"/>
      <c r="Q223" s="375"/>
      <c r="R223" s="375"/>
      <c r="S223" s="375"/>
      <c r="T223" s="375"/>
      <c r="U223" s="375"/>
    </row>
    <row r="224" spans="1:21" s="380" customFormat="1" x14ac:dyDescent="0.2">
      <c r="A224" s="446" t="s">
        <v>220</v>
      </c>
      <c r="B224" s="447" t="s">
        <v>675</v>
      </c>
      <c r="C224" s="448">
        <v>22185</v>
      </c>
      <c r="D224" s="448"/>
      <c r="E224" s="448"/>
      <c r="F224" s="448"/>
      <c r="G224" s="448">
        <f t="shared" si="32"/>
        <v>22185</v>
      </c>
      <c r="H224" s="419"/>
      <c r="I224" s="420">
        <v>22185</v>
      </c>
      <c r="J224" s="421">
        <f t="shared" si="33"/>
        <v>0</v>
      </c>
      <c r="K224" s="375"/>
      <c r="L224" s="375"/>
      <c r="M224" s="375"/>
      <c r="N224" s="375"/>
      <c r="O224" s="375"/>
      <c r="P224" s="375"/>
      <c r="Q224" s="375"/>
      <c r="R224" s="375"/>
      <c r="S224" s="375"/>
      <c r="T224" s="375"/>
      <c r="U224" s="375"/>
    </row>
    <row r="225" spans="1:21" s="380" customFormat="1" x14ac:dyDescent="0.2">
      <c r="A225" s="446" t="s">
        <v>222</v>
      </c>
      <c r="B225" s="447" t="s">
        <v>824</v>
      </c>
      <c r="C225" s="448">
        <v>43090</v>
      </c>
      <c r="D225" s="448"/>
      <c r="E225" s="448"/>
      <c r="F225" s="448"/>
      <c r="G225" s="448">
        <f t="shared" si="32"/>
        <v>43090</v>
      </c>
      <c r="H225" s="419"/>
      <c r="I225" s="420">
        <v>43090</v>
      </c>
      <c r="J225" s="421">
        <f t="shared" si="33"/>
        <v>0</v>
      </c>
      <c r="K225" s="375"/>
      <c r="L225" s="375"/>
      <c r="M225" s="375"/>
      <c r="N225" s="375"/>
      <c r="O225" s="375"/>
      <c r="P225" s="375"/>
      <c r="Q225" s="375"/>
      <c r="R225" s="375"/>
      <c r="S225" s="375"/>
      <c r="T225" s="375"/>
      <c r="U225" s="375"/>
    </row>
    <row r="226" spans="1:21" s="380" customFormat="1" x14ac:dyDescent="0.2">
      <c r="A226" s="446" t="s">
        <v>221</v>
      </c>
      <c r="B226" s="447" t="s">
        <v>537</v>
      </c>
      <c r="C226" s="448">
        <v>14450</v>
      </c>
      <c r="D226" s="448"/>
      <c r="E226" s="448"/>
      <c r="F226" s="448"/>
      <c r="G226" s="448">
        <f t="shared" si="32"/>
        <v>14450</v>
      </c>
      <c r="H226" s="419"/>
      <c r="I226" s="420">
        <v>14450</v>
      </c>
      <c r="J226" s="421">
        <f t="shared" si="33"/>
        <v>0</v>
      </c>
      <c r="K226" s="375"/>
      <c r="L226" s="375"/>
      <c r="M226" s="375"/>
      <c r="N226" s="375"/>
      <c r="O226" s="375"/>
      <c r="P226" s="375"/>
      <c r="Q226" s="375"/>
      <c r="R226" s="375"/>
      <c r="S226" s="375"/>
      <c r="T226" s="375"/>
      <c r="U226" s="375"/>
    </row>
    <row r="227" spans="1:21" x14ac:dyDescent="0.2">
      <c r="A227" s="188"/>
      <c r="B227" s="296"/>
      <c r="C227" s="452"/>
      <c r="D227" s="452"/>
      <c r="E227" s="452"/>
      <c r="F227" s="452"/>
      <c r="G227" s="448"/>
      <c r="H227" s="91"/>
      <c r="I227" s="63"/>
      <c r="J227" s="89"/>
    </row>
    <row r="228" spans="1:21" s="387" customFormat="1" x14ac:dyDescent="0.2">
      <c r="A228" s="460" t="s">
        <v>223</v>
      </c>
      <c r="B228" s="453">
        <v>3460</v>
      </c>
      <c r="C228" s="462"/>
      <c r="D228" s="462"/>
      <c r="E228" s="462"/>
      <c r="F228" s="462"/>
      <c r="G228" s="448"/>
      <c r="H228" s="360"/>
      <c r="I228" s="361"/>
      <c r="J228" s="386"/>
      <c r="K228" s="287"/>
      <c r="L228" s="287"/>
      <c r="M228" s="287"/>
      <c r="N228" s="287"/>
      <c r="O228" s="287"/>
      <c r="P228" s="287"/>
      <c r="Q228" s="287"/>
      <c r="R228" s="287"/>
      <c r="S228" s="287"/>
      <c r="T228" s="287"/>
      <c r="U228" s="287"/>
    </row>
    <row r="229" spans="1:21" s="380" customFormat="1" x14ac:dyDescent="0.2">
      <c r="A229" s="446" t="s">
        <v>1276</v>
      </c>
      <c r="B229" s="447" t="s">
        <v>1277</v>
      </c>
      <c r="C229" s="448">
        <v>515731</v>
      </c>
      <c r="D229" s="448"/>
      <c r="E229" s="448"/>
      <c r="F229" s="448"/>
      <c r="G229" s="448">
        <f t="shared" ref="G229:G239" si="34">SUM(C229:F229)</f>
        <v>515731</v>
      </c>
      <c r="H229" s="419"/>
      <c r="I229" s="420">
        <v>0</v>
      </c>
      <c r="J229" s="421">
        <f t="shared" ref="J229:J239" si="35">SUM(G229-I229)</f>
        <v>515731</v>
      </c>
      <c r="K229" s="375"/>
      <c r="L229" s="375"/>
      <c r="M229" s="375"/>
      <c r="N229" s="375"/>
      <c r="O229" s="375"/>
      <c r="P229" s="375"/>
      <c r="Q229" s="375"/>
      <c r="R229" s="375"/>
      <c r="S229" s="375"/>
      <c r="T229" s="375"/>
      <c r="U229" s="375"/>
    </row>
    <row r="230" spans="1:21" s="380" customFormat="1" x14ac:dyDescent="0.2">
      <c r="A230" s="446" t="s">
        <v>224</v>
      </c>
      <c r="B230" s="447" t="s">
        <v>719</v>
      </c>
      <c r="C230" s="448">
        <v>225</v>
      </c>
      <c r="D230" s="448"/>
      <c r="E230" s="448"/>
      <c r="F230" s="448"/>
      <c r="G230" s="448">
        <f t="shared" si="34"/>
        <v>225</v>
      </c>
      <c r="H230" s="419"/>
      <c r="I230" s="420">
        <v>225</v>
      </c>
      <c r="J230" s="421">
        <f t="shared" si="35"/>
        <v>0</v>
      </c>
      <c r="K230" s="375"/>
      <c r="L230" s="375"/>
      <c r="M230" s="375"/>
      <c r="N230" s="375"/>
      <c r="O230" s="375"/>
      <c r="P230" s="375"/>
      <c r="Q230" s="375"/>
      <c r="R230" s="375"/>
      <c r="S230" s="375"/>
      <c r="T230" s="375"/>
      <c r="U230" s="375"/>
    </row>
    <row r="231" spans="1:21" s="380" customFormat="1" x14ac:dyDescent="0.2">
      <c r="A231" s="446" t="s">
        <v>225</v>
      </c>
      <c r="B231" s="447" t="s">
        <v>720</v>
      </c>
      <c r="C231" s="448">
        <v>0</v>
      </c>
      <c r="D231" s="448"/>
      <c r="E231" s="448"/>
      <c r="F231" s="448"/>
      <c r="G231" s="448">
        <f t="shared" si="34"/>
        <v>0</v>
      </c>
      <c r="H231" s="419"/>
      <c r="I231" s="420">
        <v>0</v>
      </c>
      <c r="J231" s="421">
        <f t="shared" si="35"/>
        <v>0</v>
      </c>
      <c r="K231" s="375"/>
      <c r="L231" s="375"/>
      <c r="M231" s="375"/>
      <c r="N231" s="375"/>
      <c r="O231" s="375"/>
      <c r="P231" s="375"/>
      <c r="Q231" s="375"/>
      <c r="R231" s="375"/>
      <c r="S231" s="375"/>
      <c r="T231" s="375"/>
      <c r="U231" s="375"/>
    </row>
    <row r="232" spans="1:21" s="380" customFormat="1" x14ac:dyDescent="0.2">
      <c r="A232" s="446" t="s">
        <v>890</v>
      </c>
      <c r="B232" s="447" t="s">
        <v>891</v>
      </c>
      <c r="C232" s="448">
        <v>225</v>
      </c>
      <c r="D232" s="448"/>
      <c r="E232" s="448"/>
      <c r="F232" s="448"/>
      <c r="G232" s="448">
        <f t="shared" si="34"/>
        <v>225</v>
      </c>
      <c r="H232" s="419"/>
      <c r="I232" s="420">
        <v>225</v>
      </c>
      <c r="J232" s="421">
        <f t="shared" si="35"/>
        <v>0</v>
      </c>
      <c r="K232" s="375"/>
      <c r="L232" s="375"/>
      <c r="M232" s="375"/>
      <c r="N232" s="375"/>
      <c r="O232" s="375"/>
      <c r="P232" s="375"/>
      <c r="Q232" s="375"/>
      <c r="R232" s="375"/>
      <c r="S232" s="375"/>
      <c r="T232" s="375"/>
      <c r="U232" s="375"/>
    </row>
    <row r="233" spans="1:21" s="380" customFormat="1" x14ac:dyDescent="0.2">
      <c r="A233" s="446" t="s">
        <v>297</v>
      </c>
      <c r="B233" s="447" t="s">
        <v>721</v>
      </c>
      <c r="C233" s="448">
        <v>225</v>
      </c>
      <c r="D233" s="448"/>
      <c r="E233" s="448"/>
      <c r="F233" s="448"/>
      <c r="G233" s="448">
        <f t="shared" si="34"/>
        <v>225</v>
      </c>
      <c r="H233" s="419"/>
      <c r="I233" s="420">
        <v>225</v>
      </c>
      <c r="J233" s="421">
        <f t="shared" si="35"/>
        <v>0</v>
      </c>
      <c r="K233" s="375"/>
      <c r="L233" s="375"/>
      <c r="M233" s="375"/>
      <c r="N233" s="375"/>
      <c r="O233" s="375"/>
      <c r="P233" s="375"/>
      <c r="Q233" s="375"/>
      <c r="R233" s="375"/>
      <c r="S233" s="375"/>
      <c r="T233" s="375"/>
      <c r="U233" s="375"/>
    </row>
    <row r="234" spans="1:21" s="380" customFormat="1" x14ac:dyDescent="0.2">
      <c r="A234" s="446" t="s">
        <v>936</v>
      </c>
      <c r="B234" s="447" t="s">
        <v>937</v>
      </c>
      <c r="C234" s="448">
        <v>225</v>
      </c>
      <c r="D234" s="448"/>
      <c r="E234" s="448"/>
      <c r="F234" s="448"/>
      <c r="G234" s="448">
        <f t="shared" si="34"/>
        <v>225</v>
      </c>
      <c r="H234" s="419"/>
      <c r="I234" s="420">
        <v>225</v>
      </c>
      <c r="J234" s="421">
        <f t="shared" si="35"/>
        <v>0</v>
      </c>
      <c r="K234" s="375"/>
      <c r="L234" s="375"/>
      <c r="M234" s="375"/>
      <c r="N234" s="375"/>
      <c r="O234" s="375"/>
      <c r="P234" s="375"/>
      <c r="Q234" s="375"/>
      <c r="R234" s="375"/>
      <c r="S234" s="375"/>
      <c r="T234" s="375"/>
      <c r="U234" s="375"/>
    </row>
    <row r="235" spans="1:21" s="375" customFormat="1" x14ac:dyDescent="0.2">
      <c r="A235" s="446" t="s">
        <v>227</v>
      </c>
      <c r="B235" s="447" t="s">
        <v>722</v>
      </c>
      <c r="C235" s="448">
        <v>225</v>
      </c>
      <c r="D235" s="448"/>
      <c r="E235" s="448"/>
      <c r="F235" s="448"/>
      <c r="G235" s="448">
        <f t="shared" si="34"/>
        <v>225</v>
      </c>
      <c r="H235" s="679"/>
      <c r="I235" s="420">
        <v>225</v>
      </c>
      <c r="J235" s="488">
        <f t="shared" si="35"/>
        <v>0</v>
      </c>
    </row>
    <row r="236" spans="1:21" s="375" customFormat="1" x14ac:dyDescent="0.2">
      <c r="A236" s="446" t="s">
        <v>781</v>
      </c>
      <c r="B236" s="447" t="s">
        <v>802</v>
      </c>
      <c r="C236" s="448">
        <v>18050</v>
      </c>
      <c r="D236" s="448"/>
      <c r="E236" s="448"/>
      <c r="F236" s="448"/>
      <c r="G236" s="448">
        <f t="shared" si="34"/>
        <v>18050</v>
      </c>
      <c r="H236" s="679"/>
      <c r="I236" s="680">
        <v>18050</v>
      </c>
      <c r="J236" s="488">
        <f t="shared" si="35"/>
        <v>0</v>
      </c>
    </row>
    <row r="237" spans="1:21" s="375" customFormat="1" x14ac:dyDescent="0.2">
      <c r="A237" s="446" t="s">
        <v>1278</v>
      </c>
      <c r="B237" s="447" t="s">
        <v>538</v>
      </c>
      <c r="C237" s="448">
        <v>360</v>
      </c>
      <c r="D237" s="448"/>
      <c r="E237" s="448"/>
      <c r="F237" s="448"/>
      <c r="G237" s="448">
        <f t="shared" si="34"/>
        <v>360</v>
      </c>
      <c r="H237" s="679"/>
      <c r="I237" s="680">
        <v>360</v>
      </c>
      <c r="J237" s="488">
        <f t="shared" si="35"/>
        <v>0</v>
      </c>
    </row>
    <row r="238" spans="1:21" s="375" customFormat="1" x14ac:dyDescent="0.2">
      <c r="A238" s="446" t="s">
        <v>1279</v>
      </c>
      <c r="B238" s="447" t="s">
        <v>1280</v>
      </c>
      <c r="C238" s="448">
        <v>76950</v>
      </c>
      <c r="D238" s="448"/>
      <c r="E238" s="448"/>
      <c r="F238" s="448"/>
      <c r="G238" s="448">
        <f t="shared" si="34"/>
        <v>76950</v>
      </c>
      <c r="H238" s="679"/>
      <c r="I238" s="680">
        <v>51950</v>
      </c>
      <c r="J238" s="488">
        <f t="shared" si="35"/>
        <v>25000</v>
      </c>
    </row>
    <row r="239" spans="1:21" s="375" customFormat="1" x14ac:dyDescent="0.2">
      <c r="A239" s="375" t="s">
        <v>1281</v>
      </c>
      <c r="B239" s="447" t="s">
        <v>1282</v>
      </c>
      <c r="C239" s="448">
        <v>0</v>
      </c>
      <c r="D239" s="448"/>
      <c r="E239" s="448"/>
      <c r="F239" s="448"/>
      <c r="G239" s="448">
        <f t="shared" si="34"/>
        <v>0</v>
      </c>
      <c r="H239" s="679"/>
      <c r="I239" s="680">
        <v>25000</v>
      </c>
      <c r="J239" s="488">
        <f t="shared" si="35"/>
        <v>-25000</v>
      </c>
    </row>
    <row r="240" spans="1:21" s="397" customFormat="1" x14ac:dyDescent="0.2">
      <c r="A240" s="188"/>
      <c r="B240" s="296"/>
      <c r="C240" s="448"/>
      <c r="D240" s="452"/>
      <c r="E240" s="452"/>
      <c r="F240" s="452"/>
      <c r="G240" s="448"/>
      <c r="H240" s="483"/>
      <c r="I240" s="681"/>
      <c r="J240" s="469"/>
    </row>
    <row r="241" spans="1:21" s="375" customFormat="1" x14ac:dyDescent="0.2">
      <c r="A241" s="460" t="s">
        <v>228</v>
      </c>
      <c r="B241" s="453">
        <v>3500</v>
      </c>
      <c r="C241" s="452"/>
      <c r="D241" s="448"/>
      <c r="E241" s="448"/>
      <c r="G241" s="448"/>
      <c r="H241" s="679"/>
      <c r="I241" s="680"/>
      <c r="J241" s="488"/>
    </row>
    <row r="242" spans="1:21" s="380" customFormat="1" x14ac:dyDescent="0.2">
      <c r="A242" s="446" t="s">
        <v>825</v>
      </c>
      <c r="B242" s="447" t="s">
        <v>803</v>
      </c>
      <c r="C242" s="448">
        <v>0</v>
      </c>
      <c r="D242" s="448">
        <f>Telephone!C60+Telephone!D60+Telephone!C61+Telephone!D61</f>
        <v>7620</v>
      </c>
      <c r="E242" s="448">
        <f>Utilities!C51</f>
        <v>45430</v>
      </c>
      <c r="F242" s="448">
        <f>'13-Custodial'!H47</f>
        <v>2028.39</v>
      </c>
      <c r="G242" s="448">
        <f t="shared" ref="G242:G260" si="36">SUM(C242:F242)</f>
        <v>55078.39</v>
      </c>
      <c r="H242" s="419"/>
      <c r="I242" s="420">
        <v>47648.39</v>
      </c>
      <c r="J242" s="421">
        <f>SUM(G242-I242)</f>
        <v>7430</v>
      </c>
      <c r="K242" s="375"/>
      <c r="L242" s="375"/>
      <c r="M242" s="375"/>
      <c r="N242" s="375"/>
      <c r="O242" s="375"/>
      <c r="P242" s="375"/>
      <c r="Q242" s="375"/>
      <c r="R242" s="375"/>
      <c r="S242" s="375"/>
      <c r="T242" s="375"/>
      <c r="U242" s="375"/>
    </row>
    <row r="243" spans="1:21" s="380" customFormat="1" x14ac:dyDescent="0.2">
      <c r="A243" s="446" t="s">
        <v>321</v>
      </c>
      <c r="B243" s="447" t="s">
        <v>539</v>
      </c>
      <c r="C243" s="448">
        <v>20000</v>
      </c>
      <c r="D243" s="448"/>
      <c r="E243" s="448"/>
      <c r="F243" s="448"/>
      <c r="G243" s="448">
        <f t="shared" si="36"/>
        <v>20000</v>
      </c>
      <c r="H243" s="419"/>
      <c r="I243" s="420">
        <v>20000</v>
      </c>
      <c r="J243" s="421">
        <f t="shared" ref="J243:J260" si="37">SUM(G243-I243)</f>
        <v>0</v>
      </c>
      <c r="K243" s="375"/>
      <c r="L243" s="375"/>
      <c r="M243" s="375"/>
      <c r="N243" s="375"/>
      <c r="O243" s="375"/>
      <c r="P243" s="375"/>
      <c r="Q243" s="375"/>
      <c r="R243" s="375"/>
      <c r="S243" s="375"/>
      <c r="T243" s="375"/>
      <c r="U243" s="375"/>
    </row>
    <row r="244" spans="1:21" s="380" customFormat="1" x14ac:dyDescent="0.2">
      <c r="A244" s="446" t="s">
        <v>322</v>
      </c>
      <c r="B244" s="447" t="s">
        <v>540</v>
      </c>
      <c r="C244" s="448">
        <v>20000</v>
      </c>
      <c r="D244" s="448"/>
      <c r="E244" s="448"/>
      <c r="F244" s="448"/>
      <c r="G244" s="448">
        <f t="shared" si="36"/>
        <v>20000</v>
      </c>
      <c r="H244" s="419"/>
      <c r="I244" s="420">
        <v>20000</v>
      </c>
      <c r="J244" s="421">
        <f t="shared" si="37"/>
        <v>0</v>
      </c>
      <c r="K244" s="375"/>
      <c r="L244" s="375"/>
      <c r="M244" s="375"/>
      <c r="N244" s="375"/>
      <c r="O244" s="375"/>
      <c r="P244" s="375"/>
      <c r="Q244" s="375"/>
      <c r="R244" s="375"/>
      <c r="S244" s="375"/>
      <c r="T244" s="375"/>
      <c r="U244" s="375"/>
    </row>
    <row r="245" spans="1:21" s="380" customFormat="1" x14ac:dyDescent="0.2">
      <c r="A245" s="446" t="s">
        <v>229</v>
      </c>
      <c r="B245" s="447" t="s">
        <v>724</v>
      </c>
      <c r="C245" s="448">
        <v>24897.5</v>
      </c>
      <c r="D245" s="448"/>
      <c r="E245" s="448"/>
      <c r="F245" s="448"/>
      <c r="G245" s="448">
        <f t="shared" si="36"/>
        <v>24897.5</v>
      </c>
      <c r="H245" s="419"/>
      <c r="I245" s="420">
        <v>24897.5</v>
      </c>
      <c r="J245" s="421">
        <f t="shared" si="37"/>
        <v>0</v>
      </c>
      <c r="K245" s="375"/>
      <c r="L245" s="375"/>
      <c r="M245" s="375"/>
      <c r="N245" s="375"/>
      <c r="O245" s="375"/>
      <c r="P245" s="375"/>
      <c r="Q245" s="375"/>
      <c r="R245" s="375"/>
      <c r="S245" s="375"/>
      <c r="T245" s="375"/>
      <c r="U245" s="375"/>
    </row>
    <row r="246" spans="1:21" s="380" customFormat="1" x14ac:dyDescent="0.2">
      <c r="A246" s="446" t="s">
        <v>432</v>
      </c>
      <c r="B246" s="447" t="s">
        <v>541</v>
      </c>
      <c r="C246" s="448">
        <v>69575</v>
      </c>
      <c r="D246" s="448"/>
      <c r="E246" s="448"/>
      <c r="F246" s="448"/>
      <c r="G246" s="448">
        <f t="shared" si="36"/>
        <v>69575</v>
      </c>
      <c r="H246" s="419"/>
      <c r="I246" s="420">
        <v>69575</v>
      </c>
      <c r="J246" s="421">
        <f t="shared" si="37"/>
        <v>0</v>
      </c>
      <c r="K246" s="375"/>
      <c r="L246" s="375"/>
      <c r="M246" s="375"/>
      <c r="N246" s="375"/>
      <c r="O246" s="375"/>
      <c r="P246" s="375"/>
      <c r="Q246" s="375"/>
      <c r="R246" s="375"/>
      <c r="S246" s="375"/>
      <c r="T246" s="375"/>
      <c r="U246" s="375"/>
    </row>
    <row r="247" spans="1:21" s="380" customFormat="1" x14ac:dyDescent="0.2">
      <c r="A247" s="446" t="s">
        <v>433</v>
      </c>
      <c r="B247" s="447" t="s">
        <v>542</v>
      </c>
      <c r="C247" s="448">
        <v>39600</v>
      </c>
      <c r="D247" s="448"/>
      <c r="E247" s="448"/>
      <c r="F247" s="448"/>
      <c r="G247" s="448">
        <f t="shared" si="36"/>
        <v>39600</v>
      </c>
      <c r="H247" s="419"/>
      <c r="I247" s="420">
        <v>39600</v>
      </c>
      <c r="J247" s="421">
        <f t="shared" si="37"/>
        <v>0</v>
      </c>
      <c r="K247" s="375"/>
      <c r="L247" s="375"/>
      <c r="M247" s="375"/>
      <c r="N247" s="375"/>
      <c r="O247" s="375"/>
      <c r="P247" s="375"/>
      <c r="Q247" s="375"/>
      <c r="R247" s="375"/>
      <c r="S247" s="375"/>
      <c r="T247" s="375"/>
      <c r="U247" s="375"/>
    </row>
    <row r="248" spans="1:21" s="380" customFormat="1" x14ac:dyDescent="0.2">
      <c r="A248" s="446" t="s">
        <v>1218</v>
      </c>
      <c r="B248" s="447" t="s">
        <v>1219</v>
      </c>
      <c r="C248" s="448">
        <v>38000</v>
      </c>
      <c r="D248" s="448"/>
      <c r="E248" s="448"/>
      <c r="F248" s="448"/>
      <c r="G248" s="448">
        <f t="shared" si="36"/>
        <v>38000</v>
      </c>
      <c r="H248" s="419"/>
      <c r="I248" s="420">
        <v>38000</v>
      </c>
      <c r="J248" s="421">
        <f t="shared" si="37"/>
        <v>0</v>
      </c>
      <c r="K248" s="375"/>
      <c r="L248" s="375"/>
      <c r="M248" s="375"/>
      <c r="N248" s="375"/>
      <c r="O248" s="375"/>
      <c r="P248" s="375"/>
      <c r="Q248" s="375"/>
      <c r="R248" s="375"/>
      <c r="S248" s="375"/>
      <c r="T248" s="375"/>
      <c r="U248" s="375"/>
    </row>
    <row r="249" spans="1:21" s="380" customFormat="1" x14ac:dyDescent="0.2">
      <c r="A249" s="446" t="s">
        <v>543</v>
      </c>
      <c r="B249" s="447" t="s">
        <v>544</v>
      </c>
      <c r="C249" s="448">
        <v>136268.54999999999</v>
      </c>
      <c r="D249" s="448"/>
      <c r="E249" s="448"/>
      <c r="F249" s="448"/>
      <c r="G249" s="448">
        <f t="shared" si="36"/>
        <v>136268.54999999999</v>
      </c>
      <c r="H249" s="419"/>
      <c r="I249" s="420">
        <v>136268.54999999999</v>
      </c>
      <c r="J249" s="421">
        <f t="shared" si="37"/>
        <v>0</v>
      </c>
      <c r="K249" s="375"/>
      <c r="L249" s="375"/>
      <c r="M249" s="375"/>
      <c r="N249" s="375"/>
      <c r="O249" s="375"/>
      <c r="P249" s="375"/>
      <c r="Q249" s="375"/>
      <c r="R249" s="375"/>
      <c r="S249" s="375"/>
      <c r="T249" s="375"/>
      <c r="U249" s="375"/>
    </row>
    <row r="250" spans="1:21" s="380" customFormat="1" x14ac:dyDescent="0.2">
      <c r="A250" s="446" t="s">
        <v>811</v>
      </c>
      <c r="B250" s="447" t="s">
        <v>545</v>
      </c>
      <c r="C250" s="448">
        <v>1700</v>
      </c>
      <c r="D250" s="448"/>
      <c r="E250" s="448"/>
      <c r="F250" s="448"/>
      <c r="G250" s="448">
        <f t="shared" si="36"/>
        <v>1700</v>
      </c>
      <c r="H250" s="419"/>
      <c r="I250" s="420">
        <v>1700</v>
      </c>
      <c r="J250" s="421">
        <f t="shared" si="37"/>
        <v>0</v>
      </c>
      <c r="K250" s="375"/>
      <c r="L250" s="375"/>
      <c r="M250" s="375"/>
      <c r="N250" s="375"/>
      <c r="O250" s="375"/>
      <c r="P250" s="375"/>
      <c r="Q250" s="375"/>
      <c r="R250" s="375"/>
      <c r="S250" s="375"/>
      <c r="T250" s="375"/>
      <c r="U250" s="375"/>
    </row>
    <row r="251" spans="1:21" s="380" customFormat="1" x14ac:dyDescent="0.2">
      <c r="A251" s="446" t="s">
        <v>434</v>
      </c>
      <c r="B251" s="447" t="s">
        <v>546</v>
      </c>
      <c r="C251" s="448">
        <v>5000</v>
      </c>
      <c r="D251" s="448"/>
      <c r="E251" s="448"/>
      <c r="F251" s="448"/>
      <c r="G251" s="448">
        <f t="shared" si="36"/>
        <v>5000</v>
      </c>
      <c r="H251" s="419"/>
      <c r="I251" s="420">
        <v>5000</v>
      </c>
      <c r="J251" s="421">
        <f t="shared" si="37"/>
        <v>0</v>
      </c>
      <c r="K251" s="375"/>
      <c r="L251" s="375"/>
      <c r="M251" s="375"/>
      <c r="N251" s="375"/>
      <c r="O251" s="375"/>
      <c r="P251" s="375"/>
      <c r="Q251" s="375"/>
      <c r="R251" s="375"/>
      <c r="S251" s="375"/>
      <c r="T251" s="375"/>
      <c r="U251" s="375"/>
    </row>
    <row r="252" spans="1:21" s="380" customFormat="1" x14ac:dyDescent="0.2">
      <c r="A252" s="446" t="s">
        <v>230</v>
      </c>
      <c r="B252" s="447" t="s">
        <v>547</v>
      </c>
      <c r="C252" s="448">
        <v>41546.25</v>
      </c>
      <c r="D252" s="448"/>
      <c r="E252" s="448"/>
      <c r="F252" s="448"/>
      <c r="G252" s="448">
        <f t="shared" si="36"/>
        <v>41546.25</v>
      </c>
      <c r="H252" s="419"/>
      <c r="I252" s="420">
        <v>41546.25</v>
      </c>
      <c r="J252" s="421">
        <f t="shared" si="37"/>
        <v>0</v>
      </c>
      <c r="K252" s="375"/>
      <c r="L252" s="375"/>
      <c r="M252" s="375"/>
      <c r="N252" s="375"/>
      <c r="O252" s="375"/>
      <c r="P252" s="375"/>
      <c r="Q252" s="375"/>
      <c r="R252" s="375"/>
      <c r="S252" s="375"/>
      <c r="T252" s="375"/>
      <c r="U252" s="375"/>
    </row>
    <row r="253" spans="1:21" s="380" customFormat="1" x14ac:dyDescent="0.2">
      <c r="A253" s="446" t="s">
        <v>226</v>
      </c>
      <c r="B253" s="447" t="s">
        <v>548</v>
      </c>
      <c r="C253" s="448">
        <v>225</v>
      </c>
      <c r="D253" s="448"/>
      <c r="E253" s="448"/>
      <c r="F253" s="448"/>
      <c r="G253" s="448">
        <f t="shared" si="36"/>
        <v>225</v>
      </c>
      <c r="H253" s="419"/>
      <c r="I253" s="420">
        <v>225</v>
      </c>
      <c r="J253" s="421">
        <f t="shared" si="37"/>
        <v>0</v>
      </c>
      <c r="K253" s="375"/>
      <c r="L253" s="375"/>
      <c r="M253" s="375"/>
      <c r="N253" s="375"/>
      <c r="O253" s="375"/>
      <c r="P253" s="375"/>
      <c r="Q253" s="375"/>
      <c r="R253" s="375"/>
      <c r="S253" s="375"/>
      <c r="T253" s="375"/>
      <c r="U253" s="375"/>
    </row>
    <row r="254" spans="1:21" s="380" customFormat="1" x14ac:dyDescent="0.2">
      <c r="A254" s="446" t="s">
        <v>231</v>
      </c>
      <c r="B254" s="447" t="s">
        <v>549</v>
      </c>
      <c r="C254" s="448">
        <v>1034292.76</v>
      </c>
      <c r="D254" s="448"/>
      <c r="E254" s="448"/>
      <c r="F254" s="448"/>
      <c r="G254" s="448">
        <f t="shared" si="36"/>
        <v>1034292.76</v>
      </c>
      <c r="H254" s="419"/>
      <c r="I254" s="420">
        <v>1034292.76</v>
      </c>
      <c r="J254" s="421">
        <f t="shared" si="37"/>
        <v>0</v>
      </c>
      <c r="K254" s="375"/>
      <c r="L254" s="375"/>
      <c r="M254" s="375"/>
      <c r="N254" s="375"/>
      <c r="O254" s="375"/>
      <c r="P254" s="375"/>
      <c r="Q254" s="375"/>
      <c r="R254" s="375"/>
      <c r="S254" s="375"/>
      <c r="T254" s="375"/>
      <c r="U254" s="375"/>
    </row>
    <row r="255" spans="1:21" s="380" customFormat="1" x14ac:dyDescent="0.2">
      <c r="A255" s="446" t="s">
        <v>233</v>
      </c>
      <c r="B255" s="447" t="s">
        <v>750</v>
      </c>
      <c r="C255" s="448">
        <v>2178.75</v>
      </c>
      <c r="D255" s="448"/>
      <c r="E255" s="448"/>
      <c r="F255" s="448"/>
      <c r="G255" s="448">
        <f t="shared" si="36"/>
        <v>2178.75</v>
      </c>
      <c r="H255" s="419"/>
      <c r="I255" s="420">
        <v>2178.75</v>
      </c>
      <c r="J255" s="421">
        <f t="shared" si="37"/>
        <v>0</v>
      </c>
      <c r="K255" s="375"/>
      <c r="L255" s="375"/>
      <c r="M255" s="375"/>
      <c r="N255" s="375"/>
      <c r="O255" s="375"/>
      <c r="P255" s="375"/>
      <c r="Q255" s="375"/>
      <c r="R255" s="375"/>
      <c r="S255" s="375"/>
      <c r="T255" s="375"/>
      <c r="U255" s="375"/>
    </row>
    <row r="256" spans="1:21" s="380" customFormat="1" x14ac:dyDescent="0.2">
      <c r="A256" s="446" t="s">
        <v>290</v>
      </c>
      <c r="B256" s="447" t="s">
        <v>550</v>
      </c>
      <c r="C256" s="448"/>
      <c r="D256" s="448">
        <f>Telephone!C62</f>
        <v>1306</v>
      </c>
      <c r="E256" s="448">
        <f>Utilities!C52</f>
        <v>5000</v>
      </c>
      <c r="F256" s="448"/>
      <c r="G256" s="448">
        <f t="shared" si="36"/>
        <v>6306</v>
      </c>
      <c r="H256" s="419"/>
      <c r="I256" s="420">
        <v>5306</v>
      </c>
      <c r="J256" s="421">
        <f>SUM(G256-I256)</f>
        <v>1000</v>
      </c>
      <c r="K256" s="375"/>
      <c r="L256" s="375"/>
      <c r="M256" s="375"/>
      <c r="N256" s="375"/>
      <c r="O256" s="375"/>
      <c r="P256" s="375"/>
      <c r="Q256" s="375"/>
      <c r="R256" s="375"/>
      <c r="S256" s="375"/>
      <c r="T256" s="375"/>
      <c r="U256" s="375"/>
    </row>
    <row r="257" spans="1:21" s="380" customFormat="1" x14ac:dyDescent="0.2">
      <c r="A257" s="446" t="s">
        <v>234</v>
      </c>
      <c r="B257" s="576" t="s">
        <v>551</v>
      </c>
      <c r="C257" s="448">
        <v>25120.75</v>
      </c>
      <c r="D257" s="448"/>
      <c r="E257" s="448"/>
      <c r="F257" s="448"/>
      <c r="G257" s="448">
        <f t="shared" si="36"/>
        <v>25120.75</v>
      </c>
      <c r="H257" s="419"/>
      <c r="I257" s="420">
        <v>25120.75</v>
      </c>
      <c r="J257" s="421">
        <f t="shared" si="37"/>
        <v>0</v>
      </c>
      <c r="K257" s="375"/>
      <c r="L257" s="375"/>
      <c r="M257" s="375"/>
      <c r="N257" s="375"/>
      <c r="O257" s="375"/>
      <c r="P257" s="375"/>
      <c r="Q257" s="375"/>
      <c r="R257" s="375"/>
      <c r="S257" s="375"/>
      <c r="T257" s="375"/>
      <c r="U257" s="375"/>
    </row>
    <row r="258" spans="1:21" s="380" customFormat="1" x14ac:dyDescent="0.2">
      <c r="A258" s="446" t="s">
        <v>232</v>
      </c>
      <c r="B258" s="447" t="s">
        <v>552</v>
      </c>
      <c r="C258" s="448">
        <v>7261</v>
      </c>
      <c r="D258" s="448"/>
      <c r="E258" s="448"/>
      <c r="F258" s="448"/>
      <c r="G258" s="448">
        <f t="shared" si="36"/>
        <v>7261</v>
      </c>
      <c r="H258" s="419"/>
      <c r="I258" s="420">
        <v>7261</v>
      </c>
      <c r="J258" s="421">
        <f>SUM(G258-I258)</f>
        <v>0</v>
      </c>
      <c r="K258" s="375"/>
      <c r="L258" s="375"/>
      <c r="M258" s="375"/>
      <c r="N258" s="375"/>
      <c r="O258" s="375"/>
      <c r="P258" s="375"/>
      <c r="Q258" s="375"/>
      <c r="R258" s="375"/>
      <c r="S258" s="375"/>
      <c r="T258" s="375"/>
      <c r="U258" s="375"/>
    </row>
    <row r="259" spans="1:21" s="380" customFormat="1" x14ac:dyDescent="0.2">
      <c r="A259" s="446" t="s">
        <v>235</v>
      </c>
      <c r="B259" s="447" t="s">
        <v>553</v>
      </c>
      <c r="C259" s="448">
        <v>43367.45</v>
      </c>
      <c r="D259" s="448"/>
      <c r="E259" s="448"/>
      <c r="F259" s="448"/>
      <c r="G259" s="448">
        <f t="shared" si="36"/>
        <v>43367.45</v>
      </c>
      <c r="H259" s="419"/>
      <c r="I259" s="420">
        <v>43367.45</v>
      </c>
      <c r="J259" s="421">
        <f t="shared" si="37"/>
        <v>0</v>
      </c>
      <c r="K259" s="375"/>
      <c r="L259" s="375"/>
      <c r="M259" s="375"/>
      <c r="N259" s="375"/>
      <c r="O259" s="375"/>
      <c r="P259" s="375"/>
      <c r="Q259" s="375"/>
      <c r="R259" s="375"/>
      <c r="S259" s="375"/>
      <c r="T259" s="375"/>
      <c r="U259" s="375"/>
    </row>
    <row r="260" spans="1:21" s="380" customFormat="1" x14ac:dyDescent="0.2">
      <c r="A260" s="446" t="s">
        <v>370</v>
      </c>
      <c r="B260" s="447" t="s">
        <v>783</v>
      </c>
      <c r="C260" s="448">
        <v>2770.2</v>
      </c>
      <c r="D260" s="448"/>
      <c r="E260" s="448"/>
      <c r="F260" s="448"/>
      <c r="G260" s="448">
        <f t="shared" si="36"/>
        <v>2770.2</v>
      </c>
      <c r="H260" s="419"/>
      <c r="I260" s="420">
        <v>2770.2</v>
      </c>
      <c r="J260" s="421">
        <f t="shared" si="37"/>
        <v>0</v>
      </c>
      <c r="K260" s="375"/>
      <c r="L260" s="375"/>
      <c r="M260" s="375"/>
      <c r="N260" s="375"/>
      <c r="O260" s="375"/>
      <c r="P260" s="375"/>
      <c r="Q260" s="375"/>
      <c r="R260" s="375"/>
      <c r="S260" s="375"/>
      <c r="T260" s="375"/>
      <c r="U260" s="375"/>
    </row>
    <row r="261" spans="1:21" x14ac:dyDescent="0.2">
      <c r="A261" s="188"/>
      <c r="B261" s="296"/>
      <c r="C261" s="448"/>
      <c r="D261" s="452"/>
      <c r="E261" s="452"/>
      <c r="F261" s="452"/>
      <c r="G261" s="448"/>
      <c r="H261" s="91"/>
      <c r="I261" s="63"/>
      <c r="J261" s="89"/>
    </row>
    <row r="262" spans="1:21" x14ac:dyDescent="0.2">
      <c r="A262" s="189" t="s">
        <v>236</v>
      </c>
      <c r="B262" s="453">
        <v>3800</v>
      </c>
      <c r="D262" s="452"/>
      <c r="E262" s="452"/>
      <c r="F262" s="452"/>
      <c r="G262" s="448"/>
      <c r="H262" s="91"/>
      <c r="I262" s="63"/>
      <c r="J262" s="89"/>
    </row>
    <row r="263" spans="1:21" s="380" customFormat="1" x14ac:dyDescent="0.2">
      <c r="A263" s="446" t="s">
        <v>1</v>
      </c>
      <c r="B263" s="447" t="s">
        <v>676</v>
      </c>
      <c r="C263" s="448">
        <v>103885</v>
      </c>
      <c r="D263" s="448"/>
      <c r="E263" s="448"/>
      <c r="F263" s="448"/>
      <c r="G263" s="448">
        <f>SUM(C263:F263)</f>
        <v>103885</v>
      </c>
      <c r="H263" s="419"/>
      <c r="I263" s="420">
        <v>103885</v>
      </c>
      <c r="J263" s="421">
        <f>SUM(G263-I263)</f>
        <v>0</v>
      </c>
      <c r="K263" s="375"/>
      <c r="L263" s="375"/>
      <c r="M263" s="375"/>
      <c r="N263" s="375"/>
      <c r="O263" s="375"/>
      <c r="P263" s="375"/>
      <c r="Q263" s="375"/>
      <c r="R263" s="375"/>
      <c r="S263" s="375"/>
      <c r="T263" s="375"/>
      <c r="U263" s="375"/>
    </row>
    <row r="264" spans="1:21" x14ac:dyDescent="0.2">
      <c r="A264" s="188"/>
      <c r="B264" s="296"/>
      <c r="C264" s="452"/>
      <c r="D264" s="452"/>
      <c r="E264" s="452"/>
      <c r="F264" s="452"/>
      <c r="G264" s="448"/>
      <c r="H264" s="91"/>
      <c r="I264" s="63"/>
      <c r="J264" s="89"/>
    </row>
    <row r="265" spans="1:21" x14ac:dyDescent="0.2">
      <c r="A265" s="460" t="s">
        <v>367</v>
      </c>
      <c r="B265" s="465"/>
      <c r="C265" s="448"/>
      <c r="D265" s="409"/>
      <c r="E265" s="409"/>
      <c r="F265" s="409"/>
      <c r="G265" s="448"/>
      <c r="H265" s="91"/>
      <c r="I265" s="63"/>
      <c r="J265" s="89"/>
    </row>
    <row r="266" spans="1:21" s="380" customFormat="1" x14ac:dyDescent="0.2">
      <c r="A266" s="446" t="s">
        <v>78</v>
      </c>
      <c r="B266" s="447" t="s">
        <v>554</v>
      </c>
      <c r="C266" s="448">
        <v>1900</v>
      </c>
      <c r="D266" s="448"/>
      <c r="E266" s="448"/>
      <c r="F266" s="448"/>
      <c r="G266" s="448">
        <f t="shared" ref="G266:G280" si="38">SUM(C266:F266)</f>
        <v>1900</v>
      </c>
      <c r="H266" s="419"/>
      <c r="I266" s="420">
        <v>1900</v>
      </c>
      <c r="J266" s="421">
        <f t="shared" ref="J266:J280" si="39">SUM(G266-I266)</f>
        <v>0</v>
      </c>
      <c r="K266" s="375"/>
      <c r="L266" s="375"/>
      <c r="M266" s="375"/>
      <c r="N266" s="375"/>
      <c r="O266" s="375"/>
      <c r="P266" s="375"/>
      <c r="Q266" s="375"/>
      <c r="R266" s="375"/>
      <c r="S266" s="375"/>
      <c r="T266" s="375"/>
      <c r="U266" s="375"/>
    </row>
    <row r="267" spans="1:21" s="380" customFormat="1" x14ac:dyDescent="0.2">
      <c r="A267" s="446" t="s">
        <v>396</v>
      </c>
      <c r="B267" s="575" t="s">
        <v>805</v>
      </c>
      <c r="C267" s="422">
        <v>13476.96</v>
      </c>
      <c r="D267" s="422"/>
      <c r="E267" s="422"/>
      <c r="F267" s="422"/>
      <c r="G267" s="865">
        <f>SUM(C267:F267)</f>
        <v>13476.96</v>
      </c>
      <c r="I267" s="423">
        <v>13476.96</v>
      </c>
      <c r="J267" s="421">
        <f>SUM(G267-I267)</f>
        <v>0</v>
      </c>
      <c r="K267" s="375"/>
      <c r="L267" s="375"/>
      <c r="M267" s="375"/>
      <c r="N267" s="375"/>
      <c r="O267" s="375"/>
      <c r="P267" s="375"/>
      <c r="Q267" s="375"/>
      <c r="R267" s="375"/>
      <c r="S267" s="375"/>
      <c r="T267" s="375"/>
      <c r="U267" s="375"/>
    </row>
    <row r="268" spans="1:21" s="380" customFormat="1" x14ac:dyDescent="0.2">
      <c r="A268" s="446" t="s">
        <v>368</v>
      </c>
      <c r="B268" s="447" t="s">
        <v>805</v>
      </c>
      <c r="C268" s="448">
        <v>8100</v>
      </c>
      <c r="D268" s="448"/>
      <c r="E268" s="448"/>
      <c r="F268" s="448"/>
      <c r="G268" s="448">
        <f t="shared" si="38"/>
        <v>8100</v>
      </c>
      <c r="H268" s="419"/>
      <c r="I268" s="420">
        <v>8100</v>
      </c>
      <c r="J268" s="421">
        <f t="shared" si="39"/>
        <v>0</v>
      </c>
      <c r="K268" s="375"/>
      <c r="L268" s="375"/>
      <c r="M268" s="375"/>
      <c r="N268" s="375"/>
      <c r="O268" s="375"/>
      <c r="P268" s="375"/>
      <c r="Q268" s="375"/>
      <c r="R268" s="375"/>
      <c r="S268" s="375"/>
      <c r="T268" s="375"/>
      <c r="U268" s="375"/>
    </row>
    <row r="269" spans="1:21" s="380" customFormat="1" x14ac:dyDescent="0.2">
      <c r="A269" s="446" t="s">
        <v>369</v>
      </c>
      <c r="B269" s="447" t="s">
        <v>555</v>
      </c>
      <c r="C269" s="448">
        <v>12695</v>
      </c>
      <c r="D269" s="448"/>
      <c r="E269" s="448"/>
      <c r="F269" s="448"/>
      <c r="G269" s="448">
        <f t="shared" si="38"/>
        <v>12695</v>
      </c>
      <c r="H269" s="419"/>
      <c r="I269" s="420">
        <v>12695</v>
      </c>
      <c r="J269" s="421">
        <f t="shared" si="39"/>
        <v>0</v>
      </c>
      <c r="K269" s="375"/>
      <c r="L269" s="375"/>
      <c r="M269" s="375"/>
      <c r="N269" s="375"/>
      <c r="O269" s="375"/>
      <c r="P269" s="375"/>
      <c r="Q269" s="375"/>
      <c r="R269" s="375"/>
      <c r="S269" s="375"/>
      <c r="T269" s="375"/>
      <c r="U269" s="375"/>
    </row>
    <row r="270" spans="1:21" s="380" customFormat="1" x14ac:dyDescent="0.2">
      <c r="A270" s="446" t="s">
        <v>812</v>
      </c>
      <c r="B270" s="447" t="s">
        <v>806</v>
      </c>
      <c r="C270" s="448">
        <v>16160</v>
      </c>
      <c r="D270" s="448"/>
      <c r="E270" s="448"/>
      <c r="F270" s="448"/>
      <c r="G270" s="448">
        <f t="shared" si="38"/>
        <v>16160</v>
      </c>
      <c r="H270" s="419"/>
      <c r="I270" s="420">
        <v>16160</v>
      </c>
      <c r="J270" s="421">
        <f t="shared" si="39"/>
        <v>0</v>
      </c>
      <c r="K270" s="375"/>
      <c r="L270" s="375"/>
      <c r="M270" s="375"/>
      <c r="N270" s="375"/>
      <c r="O270" s="375"/>
      <c r="P270" s="375"/>
      <c r="Q270" s="375"/>
      <c r="R270" s="375"/>
      <c r="S270" s="375"/>
      <c r="T270" s="375"/>
      <c r="U270" s="375"/>
    </row>
    <row r="271" spans="1:21" s="380" customFormat="1" x14ac:dyDescent="0.2">
      <c r="A271" s="446" t="s">
        <v>287</v>
      </c>
      <c r="B271" s="447" t="s">
        <v>677</v>
      </c>
      <c r="C271" s="448">
        <v>13785</v>
      </c>
      <c r="D271" s="448"/>
      <c r="E271" s="422"/>
      <c r="F271" s="448"/>
      <c r="G271" s="448">
        <f t="shared" si="38"/>
        <v>13785</v>
      </c>
      <c r="H271" s="419"/>
      <c r="I271" s="420">
        <v>13785</v>
      </c>
      <c r="J271" s="421">
        <f t="shared" si="39"/>
        <v>0</v>
      </c>
      <c r="K271" s="375"/>
      <c r="L271" s="375"/>
      <c r="M271" s="375"/>
      <c r="N271" s="375"/>
      <c r="O271" s="375"/>
      <c r="P271" s="375"/>
      <c r="Q271" s="375"/>
      <c r="R271" s="375"/>
      <c r="S271" s="375"/>
      <c r="T271" s="375"/>
      <c r="U271" s="375"/>
    </row>
    <row r="272" spans="1:21" s="380" customFormat="1" x14ac:dyDescent="0.2">
      <c r="A272" s="446" t="s">
        <v>1220</v>
      </c>
      <c r="B272" s="447" t="s">
        <v>1221</v>
      </c>
      <c r="C272" s="448">
        <v>8500</v>
      </c>
      <c r="D272" s="448"/>
      <c r="E272" s="422"/>
      <c r="F272" s="448"/>
      <c r="G272" s="448">
        <f t="shared" si="38"/>
        <v>8500</v>
      </c>
      <c r="H272" s="419"/>
      <c r="I272" s="420">
        <v>8500</v>
      </c>
      <c r="J272" s="421">
        <f t="shared" si="39"/>
        <v>0</v>
      </c>
      <c r="K272" s="375"/>
      <c r="L272" s="375"/>
      <c r="M272" s="375"/>
      <c r="N272" s="375"/>
      <c r="O272" s="375"/>
      <c r="P272" s="375"/>
      <c r="Q272" s="375"/>
      <c r="R272" s="375"/>
      <c r="S272" s="375"/>
      <c r="T272" s="375"/>
      <c r="U272" s="375"/>
    </row>
    <row r="273" spans="1:21" s="380" customFormat="1" x14ac:dyDescent="0.2">
      <c r="A273" s="446" t="s">
        <v>365</v>
      </c>
      <c r="B273" s="447" t="s">
        <v>807</v>
      </c>
      <c r="C273" s="448">
        <v>8575</v>
      </c>
      <c r="D273" s="448"/>
      <c r="E273" s="422"/>
      <c r="F273" s="448"/>
      <c r="G273" s="448">
        <f t="shared" si="38"/>
        <v>8575</v>
      </c>
      <c r="H273" s="419"/>
      <c r="I273" s="420">
        <v>8575</v>
      </c>
      <c r="J273" s="421">
        <f t="shared" si="39"/>
        <v>0</v>
      </c>
      <c r="K273" s="375"/>
      <c r="L273" s="375"/>
      <c r="M273" s="375"/>
      <c r="N273" s="375"/>
      <c r="O273" s="375"/>
      <c r="P273" s="375"/>
      <c r="Q273" s="375"/>
      <c r="R273" s="375"/>
      <c r="S273" s="375"/>
      <c r="T273" s="375"/>
      <c r="U273" s="375"/>
    </row>
    <row r="274" spans="1:21" s="380" customFormat="1" ht="25.5" x14ac:dyDescent="0.2">
      <c r="A274" s="577" t="s">
        <v>856</v>
      </c>
      <c r="B274" s="573" t="s">
        <v>740</v>
      </c>
      <c r="C274" s="448">
        <v>32970</v>
      </c>
      <c r="D274" s="574"/>
      <c r="E274" s="578"/>
      <c r="F274" s="574"/>
      <c r="G274" s="448">
        <f t="shared" si="38"/>
        <v>32970</v>
      </c>
      <c r="H274" s="553"/>
      <c r="I274" s="554">
        <v>32970</v>
      </c>
      <c r="J274" s="555">
        <f t="shared" si="39"/>
        <v>0</v>
      </c>
      <c r="K274" s="375"/>
      <c r="L274" s="375"/>
      <c r="M274" s="375"/>
      <c r="N274" s="375"/>
      <c r="O274" s="375"/>
      <c r="P274" s="375"/>
      <c r="Q274" s="375"/>
      <c r="R274" s="375"/>
      <c r="S274" s="375"/>
      <c r="T274" s="375"/>
      <c r="U274" s="375"/>
    </row>
    <row r="275" spans="1:21" s="380" customFormat="1" x14ac:dyDescent="0.2">
      <c r="A275" s="446" t="s">
        <v>748</v>
      </c>
      <c r="B275" s="447" t="s">
        <v>749</v>
      </c>
      <c r="C275" s="448">
        <v>3850</v>
      </c>
      <c r="D275" s="448"/>
      <c r="E275" s="448"/>
      <c r="F275" s="448"/>
      <c r="G275" s="448">
        <f t="shared" si="38"/>
        <v>3850</v>
      </c>
      <c r="H275" s="419"/>
      <c r="I275" s="420">
        <v>3850</v>
      </c>
      <c r="J275" s="421">
        <f t="shared" si="39"/>
        <v>0</v>
      </c>
      <c r="K275" s="375"/>
      <c r="L275" s="375"/>
      <c r="M275" s="375"/>
      <c r="N275" s="375"/>
      <c r="O275" s="375"/>
      <c r="P275" s="375"/>
      <c r="Q275" s="375"/>
      <c r="R275" s="375"/>
      <c r="S275" s="375"/>
      <c r="T275" s="375"/>
      <c r="U275" s="375"/>
    </row>
    <row r="276" spans="1:21" s="380" customFormat="1" x14ac:dyDescent="0.2">
      <c r="A276" s="446" t="s">
        <v>892</v>
      </c>
      <c r="B276" s="447" t="s">
        <v>690</v>
      </c>
      <c r="C276" s="574">
        <v>23500</v>
      </c>
      <c r="D276" s="448"/>
      <c r="E276" s="448"/>
      <c r="F276" s="448"/>
      <c r="G276" s="448">
        <f t="shared" si="38"/>
        <v>23500</v>
      </c>
      <c r="H276" s="419"/>
      <c r="I276" s="420">
        <v>23500</v>
      </c>
      <c r="J276" s="421">
        <f t="shared" si="39"/>
        <v>0</v>
      </c>
      <c r="K276" s="375"/>
      <c r="L276" s="375"/>
      <c r="M276" s="375"/>
      <c r="N276" s="375"/>
      <c r="O276" s="375"/>
      <c r="P276" s="375"/>
      <c r="Q276" s="375"/>
      <c r="R276" s="375"/>
      <c r="S276" s="375"/>
      <c r="T276" s="375"/>
      <c r="U276" s="375"/>
    </row>
    <row r="277" spans="1:21" s="380" customFormat="1" x14ac:dyDescent="0.2">
      <c r="A277" s="446" t="s">
        <v>300</v>
      </c>
      <c r="B277" s="447" t="s">
        <v>642</v>
      </c>
      <c r="C277" s="448">
        <v>3230</v>
      </c>
      <c r="D277" s="448"/>
      <c r="E277" s="448"/>
      <c r="F277" s="448"/>
      <c r="G277" s="448">
        <f t="shared" si="38"/>
        <v>3230</v>
      </c>
      <c r="H277" s="419"/>
      <c r="I277" s="420">
        <v>3230</v>
      </c>
      <c r="J277" s="421">
        <f t="shared" si="39"/>
        <v>0</v>
      </c>
      <c r="K277" s="375"/>
      <c r="L277" s="375"/>
      <c r="M277" s="375"/>
      <c r="N277" s="375"/>
      <c r="O277" s="375"/>
      <c r="P277" s="375"/>
      <c r="Q277" s="375"/>
      <c r="R277" s="375"/>
      <c r="S277" s="375"/>
      <c r="T277" s="375"/>
      <c r="U277" s="375"/>
    </row>
    <row r="278" spans="1:21" s="380" customFormat="1" x14ac:dyDescent="0.2">
      <c r="A278" s="446" t="s">
        <v>1283</v>
      </c>
      <c r="B278" s="447" t="s">
        <v>690</v>
      </c>
      <c r="C278" s="448">
        <v>10000</v>
      </c>
      <c r="D278" s="448"/>
      <c r="E278" s="448"/>
      <c r="F278" s="448"/>
      <c r="G278" s="448">
        <f t="shared" ref="G278" si="40">SUM(C278:F278)</f>
        <v>10000</v>
      </c>
      <c r="H278" s="419"/>
      <c r="I278" s="420">
        <v>11500</v>
      </c>
      <c r="J278" s="421">
        <f t="shared" ref="J278" si="41">SUM(G278-I278)</f>
        <v>-1500</v>
      </c>
      <c r="K278" s="375"/>
      <c r="L278" s="375"/>
      <c r="M278" s="375"/>
      <c r="N278" s="375"/>
      <c r="O278" s="375"/>
      <c r="P278" s="375"/>
      <c r="Q278" s="375"/>
      <c r="R278" s="375"/>
      <c r="S278" s="375"/>
      <c r="T278" s="375"/>
      <c r="U278" s="375"/>
    </row>
    <row r="279" spans="1:21" s="380" customFormat="1" x14ac:dyDescent="0.2">
      <c r="A279" s="446" t="s">
        <v>874</v>
      </c>
      <c r="B279" s="447" t="s">
        <v>690</v>
      </c>
      <c r="C279" s="448">
        <v>9000</v>
      </c>
      <c r="D279" s="448"/>
      <c r="E279" s="448"/>
      <c r="F279" s="448"/>
      <c r="G279" s="448">
        <f t="shared" si="38"/>
        <v>9000</v>
      </c>
      <c r="H279" s="419"/>
      <c r="I279" s="420">
        <v>9000</v>
      </c>
      <c r="J279" s="421">
        <f t="shared" si="39"/>
        <v>0</v>
      </c>
      <c r="K279" s="375"/>
      <c r="L279" s="375"/>
      <c r="M279" s="375"/>
      <c r="N279" s="375"/>
      <c r="O279" s="375"/>
      <c r="P279" s="375"/>
      <c r="Q279" s="375"/>
      <c r="R279" s="375"/>
      <c r="S279" s="375"/>
      <c r="T279" s="375"/>
      <c r="U279" s="375"/>
    </row>
    <row r="280" spans="1:21" s="380" customFormat="1" x14ac:dyDescent="0.2">
      <c r="A280" s="446" t="s">
        <v>237</v>
      </c>
      <c r="B280" s="447" t="s">
        <v>556</v>
      </c>
      <c r="C280" s="448">
        <v>58365</v>
      </c>
      <c r="D280" s="448">
        <f>Telephone!C50+Telephone!D50</f>
        <v>959</v>
      </c>
      <c r="E280" s="448"/>
      <c r="F280" s="448"/>
      <c r="G280" s="448">
        <f t="shared" si="38"/>
        <v>59324</v>
      </c>
      <c r="H280" s="419"/>
      <c r="I280" s="420">
        <v>59324</v>
      </c>
      <c r="J280" s="421">
        <f t="shared" si="39"/>
        <v>0</v>
      </c>
      <c r="K280" s="375"/>
      <c r="L280" s="375"/>
      <c r="M280" s="375"/>
      <c r="N280" s="375"/>
      <c r="O280" s="375"/>
      <c r="P280" s="375"/>
      <c r="Q280" s="375"/>
      <c r="R280" s="375"/>
      <c r="S280" s="375"/>
      <c r="T280" s="375"/>
      <c r="U280" s="375"/>
    </row>
    <row r="281" spans="1:21" x14ac:dyDescent="0.2">
      <c r="A281" s="188"/>
      <c r="B281" s="296"/>
      <c r="C281" s="448"/>
      <c r="D281" s="452"/>
      <c r="E281" s="452"/>
      <c r="F281" s="452"/>
      <c r="G281" s="448"/>
      <c r="H281" s="91"/>
      <c r="I281" s="63"/>
      <c r="J281" s="89"/>
    </row>
    <row r="282" spans="1:21" s="380" customFormat="1" x14ac:dyDescent="0.2">
      <c r="A282" s="460" t="s">
        <v>301</v>
      </c>
      <c r="B282" s="450" t="s">
        <v>1284</v>
      </c>
      <c r="C282" s="448">
        <v>9500</v>
      </c>
      <c r="D282" s="448">
        <f>Telephone!C51</f>
        <v>1800</v>
      </c>
      <c r="E282" s="448"/>
      <c r="F282" s="448"/>
      <c r="G282" s="448">
        <f>SUM(C282:F282)</f>
        <v>11300</v>
      </c>
      <c r="H282" s="419"/>
      <c r="I282" s="420">
        <v>11300</v>
      </c>
      <c r="J282" s="421">
        <f>SUM(G282-I282)</f>
        <v>0</v>
      </c>
      <c r="K282" s="375"/>
      <c r="L282" s="375"/>
      <c r="M282" s="375"/>
      <c r="N282" s="375"/>
      <c r="O282" s="375"/>
      <c r="P282" s="375"/>
      <c r="Q282" s="375"/>
      <c r="R282" s="375"/>
      <c r="S282" s="375"/>
      <c r="T282" s="375"/>
      <c r="U282" s="375"/>
    </row>
    <row r="283" spans="1:21" s="380" customFormat="1" x14ac:dyDescent="0.2">
      <c r="A283" s="584" t="s">
        <v>873</v>
      </c>
      <c r="B283" s="447" t="s">
        <v>1285</v>
      </c>
      <c r="C283" s="448">
        <v>193194</v>
      </c>
      <c r="D283" s="448"/>
      <c r="E283" s="448"/>
      <c r="F283" s="448"/>
      <c r="G283" s="448">
        <f>SUM(C283:F283)</f>
        <v>193194</v>
      </c>
      <c r="H283" s="419"/>
      <c r="I283" s="420">
        <v>147388</v>
      </c>
      <c r="J283" s="421">
        <f>SUM(G283-I283)</f>
        <v>45806</v>
      </c>
      <c r="K283" s="375"/>
      <c r="L283" s="375"/>
      <c r="M283" s="375"/>
      <c r="N283" s="375"/>
      <c r="O283" s="375"/>
      <c r="P283" s="375"/>
      <c r="Q283" s="375"/>
      <c r="R283" s="375"/>
      <c r="S283" s="375"/>
      <c r="T283" s="375"/>
      <c r="U283" s="375"/>
    </row>
    <row r="284" spans="1:21" s="380" customFormat="1" x14ac:dyDescent="0.2">
      <c r="A284" s="584"/>
      <c r="B284" s="447"/>
      <c r="C284" s="448"/>
      <c r="D284" s="448"/>
      <c r="E284" s="448"/>
      <c r="F284" s="448"/>
      <c r="G284" s="448"/>
      <c r="H284" s="419"/>
      <c r="I284" s="420"/>
      <c r="J284" s="421"/>
      <c r="K284" s="375"/>
      <c r="L284" s="375"/>
      <c r="M284" s="375"/>
      <c r="N284" s="375"/>
      <c r="O284" s="375"/>
      <c r="P284" s="375"/>
      <c r="Q284" s="375"/>
      <c r="R284" s="375"/>
      <c r="S284" s="375"/>
      <c r="T284" s="375"/>
      <c r="U284" s="375"/>
    </row>
    <row r="285" spans="1:21" x14ac:dyDescent="0.2">
      <c r="A285" s="432" t="s">
        <v>238</v>
      </c>
      <c r="B285" s="453">
        <v>4300</v>
      </c>
      <c r="C285" s="448"/>
      <c r="D285" s="457"/>
      <c r="E285" s="457"/>
      <c r="F285" s="457"/>
      <c r="G285" s="448"/>
      <c r="H285" s="91"/>
      <c r="I285" s="63"/>
      <c r="J285" s="89"/>
    </row>
    <row r="286" spans="1:21" s="380" customFormat="1" x14ac:dyDescent="0.2">
      <c r="A286" s="446" t="s">
        <v>701</v>
      </c>
      <c r="B286" s="447" t="s">
        <v>702</v>
      </c>
      <c r="C286" s="448">
        <v>4860</v>
      </c>
      <c r="D286" s="448"/>
      <c r="E286" s="448"/>
      <c r="F286" s="448"/>
      <c r="G286" s="448">
        <f t="shared" ref="G286:G299" si="42">SUM(C286:F286)</f>
        <v>4860</v>
      </c>
      <c r="H286" s="419"/>
      <c r="I286" s="420">
        <v>4860</v>
      </c>
      <c r="J286" s="421">
        <f t="shared" ref="J286:J292" si="43">SUM(G286-I286)</f>
        <v>0</v>
      </c>
      <c r="K286" s="375"/>
      <c r="L286" s="375"/>
      <c r="M286" s="375"/>
      <c r="N286" s="375"/>
      <c r="O286" s="375"/>
      <c r="P286" s="375"/>
      <c r="Q286" s="375"/>
      <c r="R286" s="375"/>
      <c r="S286" s="375"/>
      <c r="T286" s="375"/>
      <c r="U286" s="375"/>
    </row>
    <row r="287" spans="1:21" s="380" customFormat="1" x14ac:dyDescent="0.2">
      <c r="A287" s="446" t="s">
        <v>239</v>
      </c>
      <c r="B287" s="447" t="s">
        <v>557</v>
      </c>
      <c r="C287" s="448">
        <v>6825</v>
      </c>
      <c r="D287" s="448"/>
      <c r="E287" s="448"/>
      <c r="F287" s="448"/>
      <c r="G287" s="448">
        <f t="shared" si="42"/>
        <v>6825</v>
      </c>
      <c r="H287" s="419"/>
      <c r="I287" s="420">
        <v>6825</v>
      </c>
      <c r="J287" s="421">
        <f t="shared" si="43"/>
        <v>0</v>
      </c>
      <c r="K287" s="375"/>
      <c r="L287" s="375"/>
      <c r="M287" s="375"/>
      <c r="N287" s="375"/>
      <c r="O287" s="375"/>
      <c r="P287" s="375"/>
      <c r="Q287" s="375"/>
      <c r="R287" s="375"/>
      <c r="S287" s="375"/>
      <c r="T287" s="375"/>
      <c r="U287" s="375"/>
    </row>
    <row r="288" spans="1:21" s="380" customFormat="1" x14ac:dyDescent="0.2">
      <c r="A288" s="446" t="s">
        <v>875</v>
      </c>
      <c r="B288" s="447" t="s">
        <v>834</v>
      </c>
      <c r="C288" s="448">
        <v>4750</v>
      </c>
      <c r="D288" s="448"/>
      <c r="E288" s="448"/>
      <c r="F288" s="448"/>
      <c r="G288" s="448">
        <f t="shared" si="42"/>
        <v>4750</v>
      </c>
      <c r="H288" s="419"/>
      <c r="I288" s="420">
        <v>4750</v>
      </c>
      <c r="J288" s="421">
        <f t="shared" si="43"/>
        <v>0</v>
      </c>
      <c r="K288" s="375"/>
      <c r="L288" s="375"/>
      <c r="M288" s="375"/>
      <c r="N288" s="375"/>
      <c r="O288" s="375"/>
      <c r="P288" s="375"/>
      <c r="Q288" s="375"/>
      <c r="R288" s="375"/>
      <c r="S288" s="375"/>
      <c r="T288" s="375"/>
      <c r="U288" s="375"/>
    </row>
    <row r="289" spans="1:21" s="380" customFormat="1" x14ac:dyDescent="0.2">
      <c r="A289" s="446" t="s">
        <v>347</v>
      </c>
      <c r="B289" s="447" t="s">
        <v>678</v>
      </c>
      <c r="C289" s="448">
        <v>11875</v>
      </c>
      <c r="D289" s="448"/>
      <c r="E289" s="448"/>
      <c r="F289" s="448"/>
      <c r="G289" s="448">
        <f t="shared" si="42"/>
        <v>11875</v>
      </c>
      <c r="H289" s="419"/>
      <c r="I289" s="420">
        <v>11875</v>
      </c>
      <c r="J289" s="421">
        <f t="shared" si="43"/>
        <v>0</v>
      </c>
      <c r="K289" s="375"/>
      <c r="L289" s="375"/>
      <c r="M289" s="375"/>
      <c r="N289" s="375"/>
      <c r="O289" s="375"/>
      <c r="P289" s="375"/>
      <c r="Q289" s="375"/>
      <c r="R289" s="375"/>
      <c r="S289" s="375"/>
      <c r="T289" s="375"/>
      <c r="U289" s="375"/>
    </row>
    <row r="290" spans="1:21" s="380" customFormat="1" x14ac:dyDescent="0.2">
      <c r="A290" s="380" t="s">
        <v>1167</v>
      </c>
      <c r="B290" s="811" t="s">
        <v>1168</v>
      </c>
      <c r="C290" s="448">
        <v>1035</v>
      </c>
      <c r="D290" s="448"/>
      <c r="E290" s="448"/>
      <c r="F290" s="448"/>
      <c r="G290" s="448">
        <f t="shared" si="42"/>
        <v>1035</v>
      </c>
      <c r="H290" s="419"/>
      <c r="I290" s="420">
        <v>1035</v>
      </c>
      <c r="J290" s="421">
        <f t="shared" si="43"/>
        <v>0</v>
      </c>
      <c r="K290" s="375"/>
      <c r="L290" s="375"/>
      <c r="M290" s="375"/>
      <c r="N290" s="375"/>
      <c r="O290" s="375"/>
      <c r="P290" s="375"/>
      <c r="Q290" s="375"/>
      <c r="R290" s="375"/>
      <c r="S290" s="375"/>
      <c r="T290" s="375"/>
      <c r="U290" s="375"/>
    </row>
    <row r="291" spans="1:21" s="380" customFormat="1" x14ac:dyDescent="0.2">
      <c r="A291" s="446" t="s">
        <v>305</v>
      </c>
      <c r="B291" s="447" t="s">
        <v>559</v>
      </c>
      <c r="C291" s="448">
        <v>3800</v>
      </c>
      <c r="D291" s="448"/>
      <c r="E291" s="448"/>
      <c r="F291" s="448"/>
      <c r="G291" s="448">
        <f t="shared" si="42"/>
        <v>3800</v>
      </c>
      <c r="H291" s="419"/>
      <c r="I291" s="420">
        <v>3800</v>
      </c>
      <c r="J291" s="421">
        <f t="shared" si="43"/>
        <v>0</v>
      </c>
      <c r="K291" s="375"/>
      <c r="L291" s="375"/>
      <c r="M291" s="375"/>
      <c r="N291" s="375"/>
      <c r="O291" s="375"/>
      <c r="P291" s="375"/>
      <c r="Q291" s="375"/>
      <c r="R291" s="375"/>
      <c r="S291" s="375"/>
      <c r="T291" s="375"/>
      <c r="U291" s="375"/>
    </row>
    <row r="292" spans="1:21" x14ac:dyDescent="0.2">
      <c r="A292" s="446" t="s">
        <v>133</v>
      </c>
      <c r="B292" s="447" t="s">
        <v>558</v>
      </c>
      <c r="C292" s="448">
        <v>1900</v>
      </c>
      <c r="D292" s="409"/>
      <c r="E292" s="409"/>
      <c r="F292" s="409"/>
      <c r="G292" s="448">
        <f t="shared" si="42"/>
        <v>1900</v>
      </c>
      <c r="H292" s="91"/>
      <c r="I292" s="420">
        <v>1900</v>
      </c>
      <c r="J292" s="421">
        <f t="shared" si="43"/>
        <v>0</v>
      </c>
    </row>
    <row r="293" spans="1:21" s="395" customFormat="1" x14ac:dyDescent="0.2">
      <c r="A293" s="466"/>
      <c r="B293" s="296"/>
      <c r="C293" s="448"/>
      <c r="D293" s="409"/>
      <c r="E293" s="409"/>
      <c r="F293" s="409"/>
      <c r="G293" s="448"/>
      <c r="H293" s="91"/>
      <c r="I293" s="63"/>
      <c r="J293" s="89"/>
      <c r="K293" s="397"/>
      <c r="L293" s="397"/>
      <c r="M293" s="397"/>
      <c r="N293" s="397"/>
      <c r="O293" s="397"/>
      <c r="P293" s="397"/>
      <c r="Q293" s="397"/>
      <c r="R293" s="397"/>
      <c r="S293" s="397"/>
      <c r="T293" s="397"/>
      <c r="U293" s="397"/>
    </row>
    <row r="294" spans="1:21" x14ac:dyDescent="0.2">
      <c r="A294" s="464" t="s">
        <v>140</v>
      </c>
      <c r="B294" s="453"/>
      <c r="C294" s="448"/>
      <c r="D294" s="409"/>
      <c r="E294" s="409"/>
      <c r="F294" s="409"/>
      <c r="G294" s="448"/>
      <c r="H294" s="91"/>
      <c r="I294" s="63"/>
      <c r="J294" s="89"/>
    </row>
    <row r="295" spans="1:21" x14ac:dyDescent="0.2">
      <c r="A295" s="466"/>
      <c r="B295" s="296"/>
      <c r="C295" s="409"/>
      <c r="D295" s="457"/>
      <c r="E295" s="457"/>
      <c r="F295" s="457"/>
      <c r="G295" s="448"/>
      <c r="H295" s="91"/>
      <c r="I295" s="63"/>
      <c r="J295" s="89"/>
    </row>
    <row r="296" spans="1:21" x14ac:dyDescent="0.2">
      <c r="A296" s="432" t="s">
        <v>304</v>
      </c>
      <c r="B296" s="296"/>
      <c r="C296" s="409"/>
      <c r="D296" s="182"/>
      <c r="E296" s="182"/>
      <c r="F296" s="182"/>
      <c r="G296" s="448"/>
      <c r="H296" s="91"/>
      <c r="I296" s="63"/>
      <c r="J296" s="89"/>
    </row>
    <row r="297" spans="1:21" s="380" customFormat="1" x14ac:dyDescent="0.2">
      <c r="A297" s="446" t="s">
        <v>1286</v>
      </c>
      <c r="B297" s="447" t="s">
        <v>1287</v>
      </c>
      <c r="C297" s="448">
        <v>425625</v>
      </c>
      <c r="D297" s="448"/>
      <c r="E297" s="448"/>
      <c r="F297" s="448"/>
      <c r="G297" s="448">
        <f t="shared" si="42"/>
        <v>425625</v>
      </c>
      <c r="H297" s="419"/>
      <c r="I297" s="420">
        <v>425625</v>
      </c>
      <c r="J297" s="421">
        <f t="shared" ref="J297:J299" si="44">SUM(G297-I297)</f>
        <v>0</v>
      </c>
      <c r="K297" s="375"/>
      <c r="L297" s="375"/>
      <c r="M297" s="375"/>
      <c r="N297" s="375"/>
      <c r="O297" s="375"/>
      <c r="P297" s="375"/>
      <c r="Q297" s="375"/>
      <c r="R297" s="375"/>
      <c r="S297" s="375"/>
      <c r="T297" s="375"/>
      <c r="U297" s="375"/>
    </row>
    <row r="298" spans="1:21" s="380" customFormat="1" x14ac:dyDescent="0.2">
      <c r="A298" s="446" t="s">
        <v>1288</v>
      </c>
      <c r="B298" s="447" t="s">
        <v>867</v>
      </c>
      <c r="C298" s="448">
        <v>509659.35</v>
      </c>
      <c r="D298" s="448"/>
      <c r="E298" s="448"/>
      <c r="F298" s="448"/>
      <c r="G298" s="448">
        <f t="shared" si="42"/>
        <v>509659.35</v>
      </c>
      <c r="H298" s="419"/>
      <c r="I298" s="420">
        <v>509659.35</v>
      </c>
      <c r="J298" s="421">
        <f t="shared" si="44"/>
        <v>0</v>
      </c>
      <c r="K298" s="375"/>
      <c r="L298" s="375"/>
      <c r="M298" s="375"/>
      <c r="N298" s="375"/>
      <c r="O298" s="375"/>
      <c r="P298" s="375"/>
      <c r="Q298" s="375"/>
      <c r="R298" s="375"/>
      <c r="S298" s="375"/>
      <c r="T298" s="375"/>
      <c r="U298" s="375"/>
    </row>
    <row r="299" spans="1:21" s="380" customFormat="1" x14ac:dyDescent="0.2">
      <c r="A299" s="446" t="s">
        <v>1289</v>
      </c>
      <c r="B299" s="447" t="s">
        <v>1290</v>
      </c>
      <c r="C299" s="448">
        <v>102000.65</v>
      </c>
      <c r="D299" s="448"/>
      <c r="E299" s="448"/>
      <c r="F299" s="448"/>
      <c r="G299" s="448">
        <f t="shared" si="42"/>
        <v>102000.65</v>
      </c>
      <c r="H299" s="866"/>
      <c r="I299" s="420">
        <v>509659.35</v>
      </c>
      <c r="J299" s="421">
        <f t="shared" si="44"/>
        <v>-407658.69999999995</v>
      </c>
      <c r="K299" s="375"/>
      <c r="L299" s="375"/>
      <c r="M299" s="375"/>
      <c r="N299" s="375"/>
      <c r="O299" s="375"/>
      <c r="P299" s="375"/>
      <c r="Q299" s="375"/>
      <c r="R299" s="375"/>
      <c r="S299" s="375"/>
      <c r="T299" s="375"/>
      <c r="U299" s="375"/>
    </row>
    <row r="300" spans="1:21" s="380" customFormat="1" x14ac:dyDescent="0.2">
      <c r="A300" s="446"/>
      <c r="B300" s="447"/>
      <c r="C300" s="448"/>
      <c r="D300" s="448"/>
      <c r="E300" s="448"/>
      <c r="F300" s="448"/>
      <c r="G300" s="448"/>
      <c r="H300" s="866"/>
      <c r="I300" s="420"/>
      <c r="J300" s="421"/>
      <c r="K300" s="375"/>
      <c r="L300" s="375"/>
      <c r="M300" s="375"/>
      <c r="N300" s="375"/>
      <c r="O300" s="375"/>
      <c r="P300" s="375"/>
      <c r="Q300" s="375"/>
      <c r="R300" s="375"/>
      <c r="S300" s="375"/>
      <c r="T300" s="375"/>
      <c r="U300" s="375"/>
    </row>
    <row r="301" spans="1:21" s="380" customFormat="1" x14ac:dyDescent="0.2">
      <c r="A301" s="432" t="s">
        <v>1291</v>
      </c>
      <c r="B301" s="447"/>
      <c r="C301" s="448"/>
      <c r="D301" s="448"/>
      <c r="E301" s="448"/>
      <c r="F301" s="448"/>
      <c r="G301" s="448"/>
      <c r="H301" s="866"/>
      <c r="I301" s="867"/>
      <c r="J301" s="421"/>
      <c r="K301" s="375"/>
      <c r="L301" s="375"/>
      <c r="M301" s="375"/>
      <c r="N301" s="375"/>
      <c r="O301" s="375"/>
      <c r="P301" s="375"/>
      <c r="Q301" s="375"/>
      <c r="R301" s="375"/>
      <c r="S301" s="375"/>
      <c r="T301" s="375"/>
      <c r="U301" s="375"/>
    </row>
    <row r="302" spans="1:21" s="380" customFormat="1" x14ac:dyDescent="0.2">
      <c r="A302" s="446" t="s">
        <v>1292</v>
      </c>
      <c r="B302" s="447" t="s">
        <v>1293</v>
      </c>
      <c r="C302" s="448">
        <v>58746.69</v>
      </c>
      <c r="D302" s="448"/>
      <c r="E302" s="448"/>
      <c r="F302" s="448"/>
      <c r="G302" s="448">
        <f>SUM(C302:F302)</f>
        <v>58746.69</v>
      </c>
      <c r="H302" s="866"/>
      <c r="I302" s="420">
        <v>0</v>
      </c>
      <c r="J302" s="421">
        <f>G302-I302</f>
        <v>58746.69</v>
      </c>
      <c r="K302" s="375"/>
      <c r="L302" s="375"/>
      <c r="M302" s="375"/>
      <c r="N302" s="375"/>
      <c r="O302" s="375"/>
      <c r="P302" s="375"/>
      <c r="Q302" s="375"/>
      <c r="R302" s="375"/>
      <c r="S302" s="375"/>
      <c r="T302" s="375"/>
      <c r="U302" s="375"/>
    </row>
    <row r="303" spans="1:21" s="380" customFormat="1" x14ac:dyDescent="0.2">
      <c r="A303" s="446" t="s">
        <v>1294</v>
      </c>
      <c r="B303" s="447" t="s">
        <v>1295</v>
      </c>
      <c r="C303" s="448">
        <v>3091371.67</v>
      </c>
      <c r="D303" s="448"/>
      <c r="E303" s="448"/>
      <c r="F303" s="448"/>
      <c r="G303" s="448">
        <f>SUM(C303:F303)</f>
        <v>3091371.67</v>
      </c>
      <c r="H303" s="866"/>
      <c r="I303" s="420">
        <v>0</v>
      </c>
      <c r="J303" s="421">
        <f>G303-I303</f>
        <v>3091371.67</v>
      </c>
      <c r="K303" s="375"/>
      <c r="L303" s="375"/>
      <c r="M303" s="375"/>
      <c r="N303" s="375"/>
      <c r="O303" s="375"/>
      <c r="P303" s="375"/>
      <c r="Q303" s="375"/>
      <c r="R303" s="375"/>
      <c r="S303" s="375"/>
      <c r="T303" s="375"/>
      <c r="U303" s="375"/>
    </row>
    <row r="304" spans="1:21" s="380" customFormat="1" x14ac:dyDescent="0.2">
      <c r="A304" s="446"/>
      <c r="B304" s="447"/>
      <c r="C304" s="448"/>
      <c r="D304" s="448"/>
      <c r="E304" s="448"/>
      <c r="F304" s="448"/>
      <c r="G304" s="448"/>
      <c r="H304" s="866"/>
      <c r="I304" s="420"/>
      <c r="J304" s="421"/>
      <c r="K304" s="375"/>
      <c r="L304" s="375"/>
      <c r="M304" s="375"/>
      <c r="N304" s="375"/>
      <c r="O304" s="375"/>
      <c r="P304" s="375"/>
      <c r="Q304" s="375"/>
      <c r="R304" s="375"/>
      <c r="S304" s="375"/>
      <c r="T304" s="375"/>
      <c r="U304" s="375"/>
    </row>
    <row r="305" spans="1:21" x14ac:dyDescent="0.2">
      <c r="A305" s="181"/>
      <c r="B305" s="467"/>
      <c r="C305" s="448"/>
      <c r="D305" s="186"/>
      <c r="E305" s="186"/>
      <c r="F305" s="186"/>
      <c r="G305" s="448"/>
      <c r="I305" s="468"/>
      <c r="J305" s="469"/>
    </row>
    <row r="306" spans="1:21" x14ac:dyDescent="0.2">
      <c r="A306" s="432" t="s">
        <v>240</v>
      </c>
      <c r="B306" s="296"/>
      <c r="C306" s="186"/>
      <c r="D306" s="182"/>
      <c r="E306" s="182"/>
      <c r="F306" s="182"/>
      <c r="G306" s="448"/>
      <c r="H306" s="91"/>
      <c r="I306" s="63"/>
      <c r="J306" s="89"/>
    </row>
    <row r="307" spans="1:21" x14ac:dyDescent="0.2">
      <c r="A307" s="446" t="s">
        <v>385</v>
      </c>
      <c r="B307" s="447"/>
      <c r="C307" s="182"/>
      <c r="D307" s="448"/>
      <c r="E307" s="448"/>
      <c r="F307" s="448"/>
      <c r="G307" s="448">
        <f t="shared" ref="G307:G310" si="45">SUM(C307:F307)</f>
        <v>0</v>
      </c>
      <c r="H307" s="419"/>
      <c r="I307" s="420"/>
      <c r="J307" s="421"/>
    </row>
    <row r="308" spans="1:21" x14ac:dyDescent="0.2">
      <c r="A308" s="486" t="s">
        <v>386</v>
      </c>
      <c r="B308" s="447"/>
      <c r="C308" s="448"/>
      <c r="D308" s="448"/>
      <c r="E308" s="448"/>
      <c r="F308" s="448"/>
      <c r="G308" s="448">
        <f t="shared" si="45"/>
        <v>0</v>
      </c>
      <c r="H308" s="419"/>
      <c r="I308" s="420"/>
      <c r="J308" s="421"/>
    </row>
    <row r="309" spans="1:21" x14ac:dyDescent="0.2">
      <c r="A309" s="446" t="s">
        <v>397</v>
      </c>
      <c r="B309" s="447" t="s">
        <v>561</v>
      </c>
      <c r="C309" s="448">
        <v>26500</v>
      </c>
      <c r="D309" s="448"/>
      <c r="E309" s="448"/>
      <c r="F309" s="448"/>
      <c r="G309" s="448">
        <f t="shared" si="45"/>
        <v>26500</v>
      </c>
      <c r="H309" s="419"/>
      <c r="I309" s="420">
        <v>26500</v>
      </c>
      <c r="J309" s="421">
        <f>SUM(G309-I309)</f>
        <v>0</v>
      </c>
    </row>
    <row r="310" spans="1:21" x14ac:dyDescent="0.2">
      <c r="A310" s="446" t="s">
        <v>730</v>
      </c>
      <c r="B310" s="447" t="s">
        <v>560</v>
      </c>
      <c r="C310" s="448">
        <v>720000</v>
      </c>
      <c r="D310" s="448"/>
      <c r="E310" s="182"/>
      <c r="F310" s="448"/>
      <c r="G310" s="448">
        <f t="shared" si="45"/>
        <v>720000</v>
      </c>
      <c r="H310" s="487"/>
      <c r="I310" s="420">
        <v>920000</v>
      </c>
      <c r="J310" s="421">
        <f>SUM(G310-I310)</f>
        <v>-200000</v>
      </c>
    </row>
    <row r="311" spans="1:21" x14ac:dyDescent="0.2">
      <c r="A311" s="181"/>
      <c r="B311" s="296"/>
      <c r="C311" s="448"/>
      <c r="D311" s="182"/>
      <c r="E311" s="182"/>
      <c r="F311" s="182"/>
      <c r="G311" s="448"/>
      <c r="H311" s="91"/>
      <c r="I311" s="63"/>
      <c r="J311" s="89"/>
    </row>
    <row r="312" spans="1:21" x14ac:dyDescent="0.2">
      <c r="A312" s="432" t="s">
        <v>134</v>
      </c>
      <c r="B312" s="296"/>
      <c r="C312" s="256"/>
      <c r="D312" s="182"/>
      <c r="E312" s="182"/>
      <c r="F312" s="182"/>
      <c r="G312" s="448"/>
      <c r="H312" s="91"/>
      <c r="I312" s="63"/>
      <c r="J312" s="89"/>
    </row>
    <row r="313" spans="1:21" s="380" customFormat="1" x14ac:dyDescent="0.2">
      <c r="A313" s="446" t="s">
        <v>323</v>
      </c>
      <c r="B313" s="447" t="s">
        <v>449</v>
      </c>
      <c r="C313" s="448">
        <v>394570</v>
      </c>
      <c r="D313" s="448"/>
      <c r="E313" s="448"/>
      <c r="F313" s="448"/>
      <c r="G313" s="448">
        <f>SUM(C313:F313)</f>
        <v>394570</v>
      </c>
      <c r="H313" s="419"/>
      <c r="I313" s="420">
        <v>473730</v>
      </c>
      <c r="J313" s="421">
        <f>SUM(G313-I313)</f>
        <v>-79160</v>
      </c>
      <c r="K313" s="375"/>
      <c r="L313" s="375"/>
      <c r="M313" s="375"/>
      <c r="N313" s="375"/>
      <c r="O313" s="375"/>
      <c r="P313" s="375"/>
      <c r="Q313" s="375"/>
      <c r="R313" s="375"/>
      <c r="S313" s="375"/>
      <c r="T313" s="375"/>
      <c r="U313" s="375"/>
    </row>
    <row r="314" spans="1:21" x14ac:dyDescent="0.2">
      <c r="A314" s="181"/>
      <c r="B314" s="296"/>
      <c r="D314" s="182"/>
      <c r="E314" s="182"/>
      <c r="F314" s="182"/>
      <c r="G314" s="182"/>
      <c r="H314" s="91"/>
      <c r="I314" s="63"/>
      <c r="J314" s="89"/>
    </row>
    <row r="315" spans="1:21" x14ac:dyDescent="0.2">
      <c r="A315" s="181" t="s">
        <v>241</v>
      </c>
      <c r="B315" s="296"/>
      <c r="C315" s="812">
        <f>SUM(C9:C313)</f>
        <v>15559980.599999998</v>
      </c>
      <c r="D315" s="182">
        <f>SUM(D9:D314)</f>
        <v>57445</v>
      </c>
      <c r="E315" s="182">
        <f>SUM(E9:E314)</f>
        <v>390742</v>
      </c>
      <c r="F315" s="182">
        <f>SUM(F9:F314)</f>
        <v>36736.9</v>
      </c>
      <c r="G315" s="182">
        <f>SUM(G9:G313)</f>
        <v>16044904.5</v>
      </c>
      <c r="H315" s="92"/>
      <c r="I315" s="63">
        <f>SUM(I9:I314)</f>
        <v>12691554.239999998</v>
      </c>
      <c r="J315" s="89">
        <f>SUM(J9:J314)</f>
        <v>3353350.26</v>
      </c>
    </row>
    <row r="316" spans="1:21" s="175" customFormat="1" x14ac:dyDescent="0.2">
      <c r="A316" s="181"/>
      <c r="B316" s="296"/>
      <c r="C316" s="182"/>
      <c r="D316" s="182"/>
      <c r="E316" s="182"/>
      <c r="F316" s="182"/>
      <c r="G316" s="182"/>
      <c r="H316" s="106"/>
      <c r="I316" s="182"/>
      <c r="J316" s="182"/>
    </row>
    <row r="317" spans="1:21" x14ac:dyDescent="0.2">
      <c r="A317" s="181" t="s">
        <v>84</v>
      </c>
    </row>
    <row r="318" spans="1:21" x14ac:dyDescent="0.2">
      <c r="A318" t="s">
        <v>306</v>
      </c>
    </row>
  </sheetData>
  <mergeCells count="1">
    <mergeCell ref="A2:J2"/>
  </mergeCells>
  <phoneticPr fontId="0" type="noConversion"/>
  <printOptions horizontalCentered="1"/>
  <pageMargins left="0.2" right="0.23" top="0.21" bottom="0.42" header="0.18" footer="0.2"/>
  <pageSetup scale="89" fitToHeight="0" orientation="landscape" useFirstPageNumber="1" r:id="rId1"/>
  <headerFooter alignWithMargins="0">
    <oddFooter>&amp;L&amp;6&amp;Z&amp;F   &amp;A&amp;C&amp;6Page &amp;P&amp;R&amp;6&amp;D   &amp;T</oddFooter>
  </headerFooter>
  <rowBreaks count="7" manualBreakCount="7">
    <brk id="73" max="16383" man="1"/>
    <brk id="116" max="16383" man="1"/>
    <brk id="153" max="16383" man="1"/>
    <brk id="190" max="16383" man="1"/>
    <brk id="211" max="16383" man="1"/>
    <brk id="240" max="16383" man="1"/>
    <brk id="284" max="16383"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63"/>
  <sheetViews>
    <sheetView topLeftCell="A19" zoomScale="115" zoomScaleNormal="115" workbookViewId="0">
      <selection activeCell="C65" sqref="C65"/>
    </sheetView>
  </sheetViews>
  <sheetFormatPr defaultRowHeight="12.75" x14ac:dyDescent="0.2"/>
  <cols>
    <col min="1" max="1" width="34" customWidth="1"/>
    <col min="2" max="3" width="17.28515625" style="40" customWidth="1"/>
    <col min="4" max="4" width="14.7109375" style="40" customWidth="1"/>
    <col min="5" max="5" width="10.42578125" style="55" customWidth="1"/>
    <col min="6" max="7" width="14" bestFit="1" customWidth="1"/>
    <col min="8" max="8" width="12.28515625" bestFit="1" customWidth="1"/>
  </cols>
  <sheetData>
    <row r="1" spans="1:5" x14ac:dyDescent="0.2">
      <c r="A1" s="57"/>
      <c r="B1" s="56"/>
      <c r="C1" s="56"/>
      <c r="D1" s="56"/>
      <c r="E1" s="58"/>
    </row>
    <row r="2" spans="1:5" ht="15.75" x14ac:dyDescent="0.25">
      <c r="A2" s="913" t="s">
        <v>1296</v>
      </c>
      <c r="B2" s="914"/>
      <c r="C2" s="914"/>
      <c r="D2" s="914"/>
      <c r="E2" s="915"/>
    </row>
    <row r="3" spans="1:5" x14ac:dyDescent="0.2">
      <c r="A3" s="916"/>
      <c r="B3" s="891"/>
      <c r="C3" s="891"/>
      <c r="D3" s="891"/>
      <c r="E3" s="917"/>
    </row>
    <row r="4" spans="1:5" x14ac:dyDescent="0.2">
      <c r="A4" s="918"/>
      <c r="B4" s="919"/>
      <c r="C4" s="919"/>
      <c r="D4" s="919"/>
      <c r="E4" s="920"/>
    </row>
    <row r="5" spans="1:5" x14ac:dyDescent="0.2">
      <c r="A5" s="45"/>
      <c r="B5" s="389" t="s">
        <v>1200</v>
      </c>
      <c r="C5" s="389" t="s">
        <v>1297</v>
      </c>
      <c r="D5" s="65"/>
      <c r="E5" s="73"/>
    </row>
    <row r="6" spans="1:5" ht="12.75" customHeight="1" x14ac:dyDescent="0.2">
      <c r="A6" s="59"/>
      <c r="B6" s="66" t="s">
        <v>83</v>
      </c>
      <c r="C6" s="66" t="s">
        <v>387</v>
      </c>
      <c r="D6" s="66" t="s">
        <v>243</v>
      </c>
      <c r="E6" s="74" t="s">
        <v>244</v>
      </c>
    </row>
    <row r="7" spans="1:5" x14ac:dyDescent="0.2">
      <c r="A7" s="59" t="s">
        <v>245</v>
      </c>
      <c r="B7" s="66" t="s">
        <v>435</v>
      </c>
      <c r="C7" s="66" t="s">
        <v>67</v>
      </c>
      <c r="D7" s="66" t="s">
        <v>246</v>
      </c>
      <c r="E7" s="74" t="s">
        <v>247</v>
      </c>
    </row>
    <row r="8" spans="1:5" x14ac:dyDescent="0.2">
      <c r="A8" s="45"/>
      <c r="B8" s="65"/>
      <c r="C8" s="65"/>
      <c r="D8" s="65"/>
      <c r="E8" s="73"/>
    </row>
    <row r="9" spans="1:5" x14ac:dyDescent="0.2">
      <c r="A9" s="47" t="s">
        <v>248</v>
      </c>
      <c r="B9" s="67"/>
      <c r="C9" s="67"/>
      <c r="D9" s="67"/>
      <c r="E9" s="75"/>
    </row>
    <row r="10" spans="1:5" x14ac:dyDescent="0.2">
      <c r="A10" s="47" t="s">
        <v>249</v>
      </c>
      <c r="B10" s="67">
        <v>1635749.35</v>
      </c>
      <c r="C10" s="67">
        <f>'6-Schools'!C45</f>
        <v>1659823.35</v>
      </c>
      <c r="D10" s="67">
        <f>SUM(C10-B10)</f>
        <v>24074</v>
      </c>
      <c r="E10" s="75">
        <f t="shared" ref="E10:E23" si="0">SUM(D10/B10)</f>
        <v>1.4717413765134614E-2</v>
      </c>
    </row>
    <row r="11" spans="1:5" x14ac:dyDescent="0.2">
      <c r="A11" s="47" t="s">
        <v>1298</v>
      </c>
      <c r="B11" s="67">
        <v>14147</v>
      </c>
      <c r="C11" s="67">
        <f>'6-Schools'!H45</f>
        <v>14147</v>
      </c>
      <c r="D11" s="67">
        <f t="shared" ref="D11:D25" si="1">SUM(C11-B11)</f>
        <v>0</v>
      </c>
      <c r="E11" s="75">
        <f t="shared" si="0"/>
        <v>0</v>
      </c>
    </row>
    <row r="12" spans="1:5" x14ac:dyDescent="0.2">
      <c r="A12" s="47" t="s">
        <v>251</v>
      </c>
      <c r="B12" s="67">
        <v>41847.5</v>
      </c>
      <c r="C12" s="67">
        <f>'6-Schools'!E45</f>
        <v>42532.9</v>
      </c>
      <c r="D12" s="67">
        <f t="shared" si="1"/>
        <v>685.40000000000146</v>
      </c>
      <c r="E12" s="75">
        <f t="shared" si="0"/>
        <v>1.6378517235199268E-2</v>
      </c>
    </row>
    <row r="13" spans="1:5" x14ac:dyDescent="0.2">
      <c r="A13" s="47" t="s">
        <v>2</v>
      </c>
      <c r="B13" s="67">
        <v>252026</v>
      </c>
      <c r="C13" s="67">
        <f>'6-Schools'!I45</f>
        <v>249329</v>
      </c>
      <c r="D13" s="67">
        <f t="shared" si="1"/>
        <v>-2697</v>
      </c>
      <c r="E13" s="75">
        <f t="shared" si="0"/>
        <v>-1.0701276852388246E-2</v>
      </c>
    </row>
    <row r="14" spans="1:5" x14ac:dyDescent="0.2">
      <c r="A14" s="47" t="s">
        <v>252</v>
      </c>
      <c r="B14" s="67">
        <v>591240</v>
      </c>
      <c r="C14" s="67">
        <f>'6-Schools'!J45</f>
        <v>637195.6</v>
      </c>
      <c r="D14" s="67">
        <f t="shared" si="1"/>
        <v>45955.599999999977</v>
      </c>
      <c r="E14" s="75">
        <f t="shared" si="0"/>
        <v>7.7727487991340188E-2</v>
      </c>
    </row>
    <row r="15" spans="1:5" x14ac:dyDescent="0.2">
      <c r="A15" s="47" t="s">
        <v>337</v>
      </c>
      <c r="B15" s="67">
        <v>6469</v>
      </c>
      <c r="C15" s="67">
        <f>'6-Schools'!O45</f>
        <v>6469</v>
      </c>
      <c r="D15" s="67">
        <f t="shared" si="1"/>
        <v>0</v>
      </c>
      <c r="E15" s="75">
        <f t="shared" si="0"/>
        <v>0</v>
      </c>
    </row>
    <row r="16" spans="1:5" x14ac:dyDescent="0.2">
      <c r="A16" s="47" t="s">
        <v>253</v>
      </c>
      <c r="B16" s="67">
        <v>49285</v>
      </c>
      <c r="C16" s="67">
        <f>'6-Schools'!L45</f>
        <v>49150</v>
      </c>
      <c r="D16" s="67">
        <f t="shared" si="1"/>
        <v>-135</v>
      </c>
      <c r="E16" s="75">
        <f t="shared" si="0"/>
        <v>-2.7391701329004766E-3</v>
      </c>
    </row>
    <row r="17" spans="1:5" x14ac:dyDescent="0.2">
      <c r="A17" s="304" t="s">
        <v>665</v>
      </c>
      <c r="B17" s="67">
        <v>14556.64</v>
      </c>
      <c r="C17" s="67">
        <f>'6-Schools'!D45</f>
        <v>14701.8</v>
      </c>
      <c r="D17" s="67">
        <f t="shared" si="1"/>
        <v>145.15999999999985</v>
      </c>
      <c r="E17" s="75">
        <f t="shared" si="0"/>
        <v>9.9720814693500595E-3</v>
      </c>
    </row>
    <row r="18" spans="1:5" x14ac:dyDescent="0.2">
      <c r="A18" s="47" t="s">
        <v>375</v>
      </c>
      <c r="B18" s="67">
        <v>148427.99999999997</v>
      </c>
      <c r="C18" s="67">
        <f>'6-Schools'!M45</f>
        <v>148428</v>
      </c>
      <c r="D18" s="67">
        <f t="shared" si="1"/>
        <v>2.9103830456733704E-11</v>
      </c>
      <c r="E18" s="75">
        <f t="shared" si="0"/>
        <v>1.9608045959477799E-16</v>
      </c>
    </row>
    <row r="19" spans="1:5" x14ac:dyDescent="0.2">
      <c r="A19" s="47" t="s">
        <v>254</v>
      </c>
      <c r="B19" s="67">
        <v>125947.45000000001</v>
      </c>
      <c r="C19" s="67">
        <f>'6-Schools'!F45</f>
        <v>127106.40000000001</v>
      </c>
      <c r="D19" s="67">
        <f t="shared" si="1"/>
        <v>1158.9499999999971</v>
      </c>
      <c r="E19" s="75">
        <f t="shared" si="0"/>
        <v>9.201853630224327E-3</v>
      </c>
    </row>
    <row r="20" spans="1:5" x14ac:dyDescent="0.2">
      <c r="A20" s="47" t="s">
        <v>255</v>
      </c>
      <c r="B20" s="67">
        <v>111401.56</v>
      </c>
      <c r="C20" s="67">
        <f>'6-Schools'!G45</f>
        <v>112462.86</v>
      </c>
      <c r="D20" s="67">
        <f t="shared" si="1"/>
        <v>1061.3000000000029</v>
      </c>
      <c r="E20" s="75">
        <f t="shared" si="0"/>
        <v>9.5267965726871587E-3</v>
      </c>
    </row>
    <row r="21" spans="1:5" x14ac:dyDescent="0.2">
      <c r="A21" s="47" t="s">
        <v>250</v>
      </c>
      <c r="B21" s="67">
        <v>97704</v>
      </c>
      <c r="C21" s="67">
        <f>'6-Schools'!P45</f>
        <v>97704</v>
      </c>
      <c r="D21" s="67">
        <f t="shared" si="1"/>
        <v>0</v>
      </c>
      <c r="E21" s="75">
        <f t="shared" si="0"/>
        <v>0</v>
      </c>
    </row>
    <row r="22" spans="1:5" x14ac:dyDescent="0.2">
      <c r="A22" s="47" t="s">
        <v>256</v>
      </c>
      <c r="B22" s="67">
        <v>2689150</v>
      </c>
      <c r="C22" s="67">
        <f>'6-Schools'!Q45</f>
        <v>2869960</v>
      </c>
      <c r="D22" s="67">
        <f>SUM(C22-B22)</f>
        <v>180810</v>
      </c>
      <c r="E22" s="75">
        <f t="shared" si="0"/>
        <v>6.7236859230611901E-2</v>
      </c>
    </row>
    <row r="23" spans="1:5" x14ac:dyDescent="0.2">
      <c r="A23" s="47" t="s">
        <v>257</v>
      </c>
      <c r="B23" s="67">
        <v>134155.83000000002</v>
      </c>
      <c r="C23" s="67">
        <f>'6-Schools'!K45</f>
        <v>135123.35999999999</v>
      </c>
      <c r="D23" s="67">
        <f t="shared" si="1"/>
        <v>967.52999999996973</v>
      </c>
      <c r="E23" s="75">
        <f t="shared" si="0"/>
        <v>7.2119862401803158E-3</v>
      </c>
    </row>
    <row r="24" spans="1:5" x14ac:dyDescent="0.2">
      <c r="A24" s="47" t="s">
        <v>258</v>
      </c>
      <c r="B24" s="67">
        <v>5175</v>
      </c>
      <c r="C24" s="67">
        <f>'6-Schools'!R45</f>
        <v>5175</v>
      </c>
      <c r="D24" s="67">
        <f t="shared" si="1"/>
        <v>0</v>
      </c>
      <c r="E24" s="75">
        <f>SUM(D24/B24)</f>
        <v>0</v>
      </c>
    </row>
    <row r="25" spans="1:5" x14ac:dyDescent="0.2">
      <c r="A25" s="47" t="s">
        <v>276</v>
      </c>
      <c r="B25" s="269">
        <v>60071.999999999985</v>
      </c>
      <c r="C25" s="269">
        <f>'6-Schools'!N45</f>
        <v>60071.999999999993</v>
      </c>
      <c r="D25" s="67">
        <f t="shared" si="1"/>
        <v>7.2759576141834259E-12</v>
      </c>
      <c r="E25" s="75">
        <f>SUM(D25/B25)</f>
        <v>1.2112061549779312E-16</v>
      </c>
    </row>
    <row r="26" spans="1:5" x14ac:dyDescent="0.2">
      <c r="A26" s="57"/>
      <c r="B26" s="68"/>
      <c r="C26" s="68"/>
      <c r="D26" s="68"/>
      <c r="E26" s="76"/>
    </row>
    <row r="27" spans="1:5" x14ac:dyDescent="0.2">
      <c r="A27" s="61" t="s">
        <v>259</v>
      </c>
      <c r="B27" s="69">
        <f>SUM(B10:B26)</f>
        <v>5977354.3300000001</v>
      </c>
      <c r="C27" s="362">
        <f>SUM(C10:C25)</f>
        <v>6229380.2700000005</v>
      </c>
      <c r="D27" s="69">
        <f>SUM(D10:D25)</f>
        <v>252025.93999999997</v>
      </c>
      <c r="E27" s="77">
        <f>SUM(D27/B27)</f>
        <v>4.2163459966744178E-2</v>
      </c>
    </row>
    <row r="28" spans="1:5" x14ac:dyDescent="0.2">
      <c r="A28" s="47"/>
      <c r="B28" s="67"/>
      <c r="C28" s="67"/>
      <c r="D28" s="67"/>
      <c r="E28" s="75"/>
    </row>
    <row r="29" spans="1:5" x14ac:dyDescent="0.2">
      <c r="A29" s="57" t="s">
        <v>260</v>
      </c>
      <c r="B29" s="68"/>
      <c r="C29" s="68"/>
      <c r="D29" s="68"/>
      <c r="E29" s="76"/>
    </row>
    <row r="30" spans="1:5" x14ac:dyDescent="0.2">
      <c r="A30" s="47" t="s">
        <v>261</v>
      </c>
      <c r="B30" s="67">
        <v>3735551</v>
      </c>
      <c r="C30" s="67">
        <f>SUM(Departments!C13:C72,Fuel!C10:C15,'Mileage-Departments'!C10:C11)</f>
        <v>3828351</v>
      </c>
      <c r="D30" s="67">
        <f>SUM(C30-B30)</f>
        <v>92800</v>
      </c>
      <c r="E30" s="75">
        <f t="shared" ref="E30:E38" si="2">SUM(D30/B30)</f>
        <v>2.4842386036223303E-2</v>
      </c>
    </row>
    <row r="31" spans="1:5" x14ac:dyDescent="0.2">
      <c r="A31" s="47" t="s">
        <v>262</v>
      </c>
      <c r="B31" s="67">
        <v>1447053</v>
      </c>
      <c r="C31" s="67">
        <f>SUM(Departments!C75:C153,Fuel!C16:C21,'Mileage-Departments'!C12:C16)</f>
        <v>1446988</v>
      </c>
      <c r="D31" s="67">
        <f t="shared" ref="D31:D40" si="3">SUM(C31-B31)</f>
        <v>-65</v>
      </c>
      <c r="E31" s="75">
        <f t="shared" si="2"/>
        <v>-4.4918879958094142E-5</v>
      </c>
    </row>
    <row r="32" spans="1:5" x14ac:dyDescent="0.2">
      <c r="A32" s="47" t="s">
        <v>263</v>
      </c>
      <c r="B32" s="67">
        <v>790577</v>
      </c>
      <c r="C32" s="67">
        <f>SUM(Departments!C156:C190,Fuel!C22:C34)</f>
        <v>806077</v>
      </c>
      <c r="D32" s="67">
        <f t="shared" si="3"/>
        <v>15500</v>
      </c>
      <c r="E32" s="75">
        <f t="shared" si="2"/>
        <v>1.9605933387892641E-2</v>
      </c>
    </row>
    <row r="33" spans="1:8" x14ac:dyDescent="0.2">
      <c r="A33" s="304" t="s">
        <v>602</v>
      </c>
      <c r="B33" s="67">
        <v>1814376.3699999999</v>
      </c>
      <c r="C33" s="67">
        <f>SUM(Departments!C192:C239,Departments!E315,Departments!F315,Departments!D315,Fuel!C35:C35)</f>
        <v>2551885.9699999997</v>
      </c>
      <c r="D33" s="67">
        <f t="shared" si="3"/>
        <v>737509.59999999986</v>
      </c>
      <c r="E33" s="75">
        <f t="shared" si="2"/>
        <v>0.40648104340115493</v>
      </c>
      <c r="F33" s="40"/>
    </row>
    <row r="34" spans="1:8" x14ac:dyDescent="0.2">
      <c r="A34" s="47" t="s">
        <v>264</v>
      </c>
      <c r="B34" s="67">
        <v>1942383.21</v>
      </c>
      <c r="C34" s="67">
        <f>SUM(Departments!C241:C260,Departments!C297,Fuel!C36:C36,Departments!C302)</f>
        <v>2001129.9</v>
      </c>
      <c r="D34" s="67">
        <f t="shared" si="3"/>
        <v>58746.689999999944</v>
      </c>
      <c r="E34" s="75">
        <f t="shared" si="2"/>
        <v>3.0244644670296521E-2</v>
      </c>
      <c r="F34" s="60"/>
      <c r="G34" s="93"/>
    </row>
    <row r="35" spans="1:8" x14ac:dyDescent="0.2">
      <c r="A35" s="47" t="s">
        <v>265</v>
      </c>
      <c r="B35" s="67">
        <v>487019.95999999996</v>
      </c>
      <c r="C35" s="67">
        <f>SUM(Departments!C263:C283,Fuel!C37)</f>
        <v>531325.96</v>
      </c>
      <c r="D35" s="67">
        <f t="shared" si="3"/>
        <v>44306</v>
      </c>
      <c r="E35" s="75">
        <f t="shared" si="2"/>
        <v>9.09736841175873E-2</v>
      </c>
      <c r="G35" s="93"/>
    </row>
    <row r="36" spans="1:8" x14ac:dyDescent="0.2">
      <c r="A36" s="47" t="s">
        <v>266</v>
      </c>
      <c r="B36" s="67">
        <v>35045</v>
      </c>
      <c r="C36" s="67">
        <f>SUM(Departments!C286:C292)</f>
        <v>35045</v>
      </c>
      <c r="D36" s="67">
        <f t="shared" si="3"/>
        <v>0</v>
      </c>
      <c r="E36" s="75">
        <f t="shared" si="2"/>
        <v>0</v>
      </c>
    </row>
    <row r="37" spans="1:8" x14ac:dyDescent="0.2">
      <c r="A37" s="304" t="s">
        <v>743</v>
      </c>
      <c r="B37" s="67">
        <v>0</v>
      </c>
      <c r="C37" s="67">
        <f>Departments!C303</f>
        <v>3091371.67</v>
      </c>
      <c r="D37" s="67">
        <f>SUM(C37-B37)</f>
        <v>3091371.67</v>
      </c>
      <c r="E37" s="75" t="e">
        <f t="shared" si="2"/>
        <v>#DIV/0!</v>
      </c>
    </row>
    <row r="38" spans="1:8" x14ac:dyDescent="0.2">
      <c r="A38" s="47" t="s">
        <v>303</v>
      </c>
      <c r="B38" s="67">
        <v>509659.35</v>
      </c>
      <c r="C38" s="67">
        <f>SUM(Departments!C298,Departments!C299)</f>
        <v>611660</v>
      </c>
      <c r="D38" s="67">
        <f>SUM(C38-B38)</f>
        <v>102000.65000000002</v>
      </c>
      <c r="E38" s="75">
        <f t="shared" si="2"/>
        <v>0.20013495288568733</v>
      </c>
      <c r="F38" s="40"/>
      <c r="G38" s="93"/>
    </row>
    <row r="39" spans="1:8" x14ac:dyDescent="0.2">
      <c r="A39" s="47" t="s">
        <v>267</v>
      </c>
      <c r="B39" s="67">
        <v>946500</v>
      </c>
      <c r="C39" s="67">
        <f>SUM(Departments!C307:C311)</f>
        <v>746500</v>
      </c>
      <c r="D39" s="67">
        <f>SUM(C39-B39)</f>
        <v>-200000</v>
      </c>
      <c r="E39" s="75">
        <f>SUM(D39/B39)</f>
        <v>-0.21130480718436345</v>
      </c>
      <c r="G39" s="93"/>
    </row>
    <row r="40" spans="1:8" x14ac:dyDescent="0.2">
      <c r="A40" s="288" t="s">
        <v>451</v>
      </c>
      <c r="B40" s="67">
        <v>473730</v>
      </c>
      <c r="C40" s="67">
        <f>SUM(Departments!G313:G313)</f>
        <v>394570</v>
      </c>
      <c r="D40" s="67">
        <f t="shared" si="3"/>
        <v>-79160</v>
      </c>
      <c r="E40" s="283">
        <f>SUM(D40/B40)</f>
        <v>-0.16709940261330294</v>
      </c>
    </row>
    <row r="41" spans="1:8" x14ac:dyDescent="0.2">
      <c r="A41" s="57"/>
      <c r="B41" s="68"/>
      <c r="C41" s="68"/>
      <c r="D41" s="68"/>
      <c r="E41" s="76"/>
    </row>
    <row r="42" spans="1:8" x14ac:dyDescent="0.2">
      <c r="A42" s="61" t="s">
        <v>268</v>
      </c>
      <c r="B42" s="69">
        <f>SUM(B30:B41)</f>
        <v>12181894.889999999</v>
      </c>
      <c r="C42" s="362">
        <f>SUM(C30:C40)</f>
        <v>16044904.499999998</v>
      </c>
      <c r="D42" s="69">
        <f>SUM(D30:D40)</f>
        <v>3863009.61</v>
      </c>
      <c r="E42" s="77">
        <f>SUM(D42/B42)</f>
        <v>0.31711073235175485</v>
      </c>
    </row>
    <row r="43" spans="1:8" x14ac:dyDescent="0.2">
      <c r="A43" s="47"/>
      <c r="B43" s="67"/>
      <c r="C43" s="67"/>
      <c r="D43" s="67"/>
      <c r="E43" s="75"/>
    </row>
    <row r="44" spans="1:8" x14ac:dyDescent="0.2">
      <c r="A44" s="57"/>
      <c r="B44" s="68"/>
      <c r="C44" s="68"/>
      <c r="D44" s="68"/>
      <c r="E44" s="76"/>
    </row>
    <row r="45" spans="1:8" ht="15" x14ac:dyDescent="0.25">
      <c r="A45" s="62" t="s">
        <v>269</v>
      </c>
      <c r="B45" s="70">
        <f>SUM(B27+B42)</f>
        <v>18159249.219999999</v>
      </c>
      <c r="C45" s="413">
        <f>SUM(C27+C42)</f>
        <v>22274284.77</v>
      </c>
      <c r="D45" s="70">
        <f>SUM(D27+D42)</f>
        <v>4115035.55</v>
      </c>
      <c r="E45" s="78">
        <f>SUM(D45/B45)</f>
        <v>0.22660824245243769</v>
      </c>
    </row>
    <row r="46" spans="1:8" x14ac:dyDescent="0.2">
      <c r="A46" s="47"/>
      <c r="B46" s="67"/>
      <c r="C46" s="67"/>
      <c r="D46" s="67"/>
      <c r="E46" s="75"/>
      <c r="H46" s="40"/>
    </row>
    <row r="47" spans="1:8" x14ac:dyDescent="0.2">
      <c r="A47" s="57"/>
      <c r="B47" s="68"/>
      <c r="C47" s="68"/>
      <c r="D47" s="68"/>
      <c r="E47" s="76"/>
      <c r="G47" s="40"/>
    </row>
    <row r="48" spans="1:8" x14ac:dyDescent="0.2">
      <c r="A48" s="47" t="s">
        <v>270</v>
      </c>
      <c r="B48" s="269">
        <v>1050000</v>
      </c>
      <c r="C48" s="269">
        <v>1050000</v>
      </c>
      <c r="D48" s="67"/>
      <c r="E48" s="75"/>
    </row>
    <row r="49" spans="1:7" x14ac:dyDescent="0.2">
      <c r="A49" s="47" t="s">
        <v>271</v>
      </c>
      <c r="B49" s="269">
        <v>35000</v>
      </c>
      <c r="C49" s="269">
        <v>35000</v>
      </c>
      <c r="D49" s="67"/>
      <c r="E49" s="75"/>
      <c r="G49" s="40"/>
    </row>
    <row r="50" spans="1:7" x14ac:dyDescent="0.2">
      <c r="A50" s="47" t="s">
        <v>272</v>
      </c>
      <c r="B50" s="269">
        <v>48000</v>
      </c>
      <c r="C50" s="269">
        <v>48000</v>
      </c>
      <c r="D50" s="67"/>
      <c r="E50" s="75"/>
    </row>
    <row r="51" spans="1:7" x14ac:dyDescent="0.2">
      <c r="A51" s="47" t="s">
        <v>273</v>
      </c>
      <c r="B51" s="68">
        <f>SUM(B48:B50)</f>
        <v>1133000</v>
      </c>
      <c r="C51" s="68">
        <f>SUM(C48:C50)</f>
        <v>1133000</v>
      </c>
      <c r="D51" s="67">
        <f>SUM(C51-B51)</f>
        <v>0</v>
      </c>
      <c r="E51" s="75">
        <f>SUM(D51/B51)</f>
        <v>0</v>
      </c>
    </row>
    <row r="52" spans="1:7" x14ac:dyDescent="0.2">
      <c r="A52" s="47"/>
      <c r="B52" s="67"/>
      <c r="C52" s="67"/>
      <c r="D52" s="67"/>
      <c r="E52" s="75"/>
      <c r="F52" s="40"/>
    </row>
    <row r="53" spans="1:7" x14ac:dyDescent="0.2">
      <c r="A53" s="57"/>
      <c r="B53" s="68"/>
      <c r="C53" s="68"/>
      <c r="D53" s="68"/>
      <c r="E53" s="76"/>
    </row>
    <row r="54" spans="1:7" x14ac:dyDescent="0.2">
      <c r="A54" s="62" t="s">
        <v>274</v>
      </c>
      <c r="B54" s="70">
        <f>SUM(B45+B51)</f>
        <v>19292249.219999999</v>
      </c>
      <c r="C54" s="70">
        <f>SUM(C45+C51)</f>
        <v>23407284.77</v>
      </c>
      <c r="D54" s="70">
        <f>SUM(C54-B54)</f>
        <v>4115035.5500000007</v>
      </c>
      <c r="E54" s="78">
        <f>SUM(D54/B54)</f>
        <v>0.21329993735173203</v>
      </c>
    </row>
    <row r="55" spans="1:7" x14ac:dyDescent="0.2">
      <c r="A55" s="47"/>
      <c r="B55" s="67"/>
      <c r="C55" s="67"/>
      <c r="D55" s="67"/>
      <c r="E55" s="75"/>
    </row>
    <row r="56" spans="1:7" x14ac:dyDescent="0.2">
      <c r="A56" s="57"/>
      <c r="B56" s="68"/>
      <c r="C56" s="68"/>
      <c r="D56" s="68"/>
      <c r="E56" s="76"/>
      <c r="F56" s="503"/>
      <c r="G56" s="503"/>
    </row>
    <row r="57" spans="1:7" x14ac:dyDescent="0.2">
      <c r="A57" s="47" t="s">
        <v>109</v>
      </c>
      <c r="B57" s="67">
        <v>816860.76</v>
      </c>
      <c r="C57" s="67">
        <v>816860.76</v>
      </c>
      <c r="D57" s="67">
        <f>SUM(C57-B57)</f>
        <v>0</v>
      </c>
      <c r="E57" s="75">
        <f>SUM(D57/B57)</f>
        <v>0</v>
      </c>
      <c r="G57" s="40"/>
    </row>
    <row r="58" spans="1:7" x14ac:dyDescent="0.2">
      <c r="A58" s="47"/>
      <c r="B58" s="67"/>
      <c r="C58" s="67"/>
      <c r="D58" s="67"/>
      <c r="E58" s="75"/>
    </row>
    <row r="59" spans="1:7" x14ac:dyDescent="0.2">
      <c r="A59" s="57"/>
      <c r="B59" s="68"/>
      <c r="C59" s="68"/>
      <c r="D59" s="68"/>
      <c r="E59" s="76"/>
    </row>
    <row r="60" spans="1:7" x14ac:dyDescent="0.2">
      <c r="A60" s="64" t="s">
        <v>275</v>
      </c>
      <c r="B60" s="71">
        <f>SUM(B54+B57)</f>
        <v>20109109.98</v>
      </c>
      <c r="C60" s="71">
        <f>SUM(C54+C57)</f>
        <v>24224145.530000001</v>
      </c>
      <c r="D60" s="71">
        <f>SUM(C60-B60)</f>
        <v>4115035.5500000007</v>
      </c>
      <c r="E60" s="79">
        <f>SUM(D60/B60)</f>
        <v>0.20463538933810141</v>
      </c>
    </row>
    <row r="61" spans="1:7" x14ac:dyDescent="0.2">
      <c r="A61" s="49"/>
      <c r="B61" s="72"/>
      <c r="C61" s="72"/>
      <c r="D61" s="72"/>
      <c r="E61" s="80"/>
    </row>
    <row r="63" spans="1:7" x14ac:dyDescent="0.2">
      <c r="C63" s="182"/>
    </row>
  </sheetData>
  <mergeCells count="3">
    <mergeCell ref="A2:E2"/>
    <mergeCell ref="A3:E3"/>
    <mergeCell ref="A4:E4"/>
  </mergeCells>
  <phoneticPr fontId="0" type="noConversion"/>
  <printOptions horizontalCentered="1"/>
  <pageMargins left="0.27" right="0.26" top="0.32" bottom="0.56000000000000005" header="0.25" footer="0.22"/>
  <pageSetup scale="95" orientation="portrait" r:id="rId1"/>
  <headerFooter alignWithMargins="0">
    <oddFooter>&amp;L&amp;6&amp;Z&amp;F&amp;CSummary&amp;R&amp;6&amp;D   &amp;T</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A42"/>
  <sheetViews>
    <sheetView topLeftCell="A4" workbookViewId="0">
      <selection activeCell="F26" sqref="F26"/>
    </sheetView>
  </sheetViews>
  <sheetFormatPr defaultRowHeight="12.75" x14ac:dyDescent="0.2"/>
  <cols>
    <col min="1" max="1" width="118" customWidth="1"/>
  </cols>
  <sheetData>
    <row r="1" spans="1:1" ht="6.75" customHeight="1" x14ac:dyDescent="0.2"/>
    <row r="2" spans="1:1" ht="18" x14ac:dyDescent="0.25">
      <c r="A2" s="241" t="s">
        <v>1201</v>
      </c>
    </row>
    <row r="3" spans="1:1" ht="15" customHeight="1" x14ac:dyDescent="0.2">
      <c r="A3" s="43"/>
    </row>
    <row r="4" spans="1:1" ht="15" x14ac:dyDescent="0.25">
      <c r="A4" s="176" t="s">
        <v>135</v>
      </c>
    </row>
    <row r="5" spans="1:1" ht="14.25" x14ac:dyDescent="0.2">
      <c r="A5" s="43"/>
    </row>
    <row r="6" spans="1:1" ht="15" x14ac:dyDescent="0.25">
      <c r="A6" s="265" t="s">
        <v>1179</v>
      </c>
    </row>
    <row r="7" spans="1:1" ht="14.25" x14ac:dyDescent="0.2">
      <c r="A7" s="43"/>
    </row>
    <row r="8" spans="1:1" ht="43.5" x14ac:dyDescent="0.2">
      <c r="A8" s="265" t="s">
        <v>1180</v>
      </c>
    </row>
    <row r="9" spans="1:1" ht="14.25" x14ac:dyDescent="0.2">
      <c r="A9" s="43"/>
    </row>
    <row r="10" spans="1:1" ht="40.5" customHeight="1" x14ac:dyDescent="0.2">
      <c r="A10" s="265" t="s">
        <v>1181</v>
      </c>
    </row>
    <row r="11" spans="1:1" ht="14.25" x14ac:dyDescent="0.2">
      <c r="A11" s="43"/>
    </row>
    <row r="12" spans="1:1" ht="15" x14ac:dyDescent="0.25">
      <c r="A12" s="44" t="s">
        <v>846</v>
      </c>
    </row>
    <row r="13" spans="1:1" ht="15" x14ac:dyDescent="0.25">
      <c r="A13" s="44"/>
    </row>
    <row r="14" spans="1:1" ht="15" x14ac:dyDescent="0.25">
      <c r="A14" s="44" t="s">
        <v>1182</v>
      </c>
    </row>
    <row r="15" spans="1:1" ht="14.25" x14ac:dyDescent="0.2">
      <c r="A15" s="43"/>
    </row>
    <row r="16" spans="1:1" s="395" customFormat="1" ht="15" x14ac:dyDescent="0.25">
      <c r="A16" s="44" t="s">
        <v>933</v>
      </c>
    </row>
    <row r="17" spans="1:1" s="395" customFormat="1" ht="14.25" x14ac:dyDescent="0.2">
      <c r="A17" s="43"/>
    </row>
    <row r="18" spans="1:1" ht="29.25" x14ac:dyDescent="0.2">
      <c r="A18" s="265" t="s">
        <v>1183</v>
      </c>
    </row>
    <row r="19" spans="1:1" ht="14.25" x14ac:dyDescent="0.2">
      <c r="A19" s="43"/>
    </row>
    <row r="20" spans="1:1" ht="29.25" x14ac:dyDescent="0.2">
      <c r="A20" s="265" t="s">
        <v>1184</v>
      </c>
    </row>
    <row r="21" spans="1:1" ht="14.25" x14ac:dyDescent="0.2">
      <c r="A21" s="43"/>
    </row>
    <row r="22" spans="1:1" ht="43.5" x14ac:dyDescent="0.2">
      <c r="A22" s="265" t="s">
        <v>1185</v>
      </c>
    </row>
    <row r="23" spans="1:1" s="395" customFormat="1" ht="13.5" customHeight="1" x14ac:dyDescent="0.25">
      <c r="A23" s="265"/>
    </row>
    <row r="24" spans="1:1" ht="29.25" x14ac:dyDescent="0.2">
      <c r="A24" s="265" t="s">
        <v>1186</v>
      </c>
    </row>
    <row r="25" spans="1:1" ht="13.5" customHeight="1" x14ac:dyDescent="0.2">
      <c r="A25" s="43"/>
    </row>
    <row r="26" spans="1:1" ht="29.25" x14ac:dyDescent="0.2">
      <c r="A26" s="265" t="s">
        <v>712</v>
      </c>
    </row>
    <row r="27" spans="1:1" s="395" customFormat="1" ht="13.5" customHeight="1" x14ac:dyDescent="0.25">
      <c r="A27" s="265"/>
    </row>
    <row r="28" spans="1:1" ht="44.25" x14ac:dyDescent="0.2">
      <c r="A28" s="265" t="s">
        <v>868</v>
      </c>
    </row>
    <row r="29" spans="1:1" ht="13.5" customHeight="1" x14ac:dyDescent="0.2">
      <c r="A29" s="43"/>
    </row>
    <row r="30" spans="1:1" ht="15" x14ac:dyDescent="0.25">
      <c r="A30" s="176"/>
    </row>
    <row r="31" spans="1:1" ht="14.25" x14ac:dyDescent="0.2">
      <c r="A31" s="43"/>
    </row>
    <row r="32" spans="1:1" ht="30" customHeight="1" x14ac:dyDescent="0.2">
      <c r="A32" s="266"/>
    </row>
    <row r="33" spans="1:1" ht="13.5" customHeight="1" x14ac:dyDescent="0.2">
      <c r="A33" s="43"/>
    </row>
    <row r="34" spans="1:1" ht="15" x14ac:dyDescent="0.25">
      <c r="A34" s="176"/>
    </row>
    <row r="35" spans="1:1" ht="14.25" x14ac:dyDescent="0.2">
      <c r="A35" s="43"/>
    </row>
    <row r="36" spans="1:1" ht="14.25" x14ac:dyDescent="0.2">
      <c r="A36" s="266"/>
    </row>
    <row r="37" spans="1:1" ht="14.25" x14ac:dyDescent="0.2">
      <c r="A37" s="43"/>
    </row>
    <row r="38" spans="1:1" ht="15" x14ac:dyDescent="0.25">
      <c r="A38" s="176"/>
    </row>
    <row r="39" spans="1:1" s="395" customFormat="1" ht="15" x14ac:dyDescent="0.25">
      <c r="A39" s="176"/>
    </row>
    <row r="40" spans="1:1" ht="42" customHeight="1" x14ac:dyDescent="0.2">
      <c r="A40" s="266"/>
    </row>
    <row r="41" spans="1:1" ht="14.25" x14ac:dyDescent="0.2">
      <c r="A41" s="43"/>
    </row>
    <row r="42" spans="1:1" ht="14.25" x14ac:dyDescent="0.2">
      <c r="A42" s="43"/>
    </row>
  </sheetData>
  <phoneticPr fontId="0" type="noConversion"/>
  <pageMargins left="0.27" right="0.26" top="0.49" bottom="0.46" header="0.5" footer="0.22"/>
  <pageSetup scale="87" firstPageNumber="31" orientation="portrait" useFirstPageNumber="1" r:id="rId1"/>
  <headerFooter alignWithMargins="0">
    <oddFooter>&amp;L&amp;6&amp;Z&amp;F   &amp;A&amp;C&amp;8                           &amp;6 Page &amp;P&amp;R&amp;6&amp;D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16"/>
  <sheetViews>
    <sheetView zoomScale="130" zoomScaleNormal="130" workbookViewId="0">
      <selection activeCell="M3" sqref="M3"/>
    </sheetView>
  </sheetViews>
  <sheetFormatPr defaultRowHeight="12.75" x14ac:dyDescent="0.2"/>
  <cols>
    <col min="1" max="1" width="18.42578125" bestFit="1" customWidth="1"/>
  </cols>
  <sheetData>
    <row r="1" spans="1:13" ht="60" x14ac:dyDescent="0.2">
      <c r="A1" s="753" t="s">
        <v>1066</v>
      </c>
      <c r="B1" s="754" t="s">
        <v>1067</v>
      </c>
      <c r="C1" s="754" t="s">
        <v>1068</v>
      </c>
      <c r="D1" s="754" t="s">
        <v>1069</v>
      </c>
      <c r="E1" s="754" t="s">
        <v>1070</v>
      </c>
      <c r="F1" s="754" t="s">
        <v>1071</v>
      </c>
      <c r="G1" s="754" t="s">
        <v>1072</v>
      </c>
      <c r="H1" s="754" t="s">
        <v>1073</v>
      </c>
      <c r="I1" s="755" t="s">
        <v>1074</v>
      </c>
      <c r="J1" s="756" t="s">
        <v>1075</v>
      </c>
      <c r="K1" s="756" t="s">
        <v>1076</v>
      </c>
      <c r="L1" s="876" t="s">
        <v>1077</v>
      </c>
      <c r="M1" s="876"/>
    </row>
    <row r="2" spans="1:13" ht="15" x14ac:dyDescent="0.2">
      <c r="A2" s="753" t="s">
        <v>693</v>
      </c>
      <c r="B2" s="757">
        <v>3</v>
      </c>
      <c r="C2" s="757">
        <v>3</v>
      </c>
      <c r="D2" s="758">
        <v>3</v>
      </c>
      <c r="E2" s="757">
        <v>3</v>
      </c>
      <c r="F2" s="757">
        <v>3</v>
      </c>
      <c r="G2" s="757">
        <v>3</v>
      </c>
      <c r="H2" s="757">
        <v>3</v>
      </c>
      <c r="I2" s="755">
        <f>SUM(B2:H2)</f>
        <v>21</v>
      </c>
      <c r="J2" s="759">
        <f>B2*M3+C2*M4+D2*M5+E2*M6+F2*M7+G2*M8+H2*M9</f>
        <v>27</v>
      </c>
      <c r="K2" s="759">
        <f>J2/8</f>
        <v>3.375</v>
      </c>
      <c r="L2" s="754"/>
      <c r="M2" s="754"/>
    </row>
    <row r="3" spans="1:13" ht="15" x14ac:dyDescent="0.2">
      <c r="A3" s="753" t="s">
        <v>1078</v>
      </c>
      <c r="B3" s="757">
        <v>3</v>
      </c>
      <c r="C3" s="757">
        <v>3</v>
      </c>
      <c r="D3" s="758">
        <v>3</v>
      </c>
      <c r="E3" s="757">
        <v>3</v>
      </c>
      <c r="F3" s="757">
        <v>3</v>
      </c>
      <c r="G3" s="757">
        <v>3</v>
      </c>
      <c r="H3" s="757">
        <v>3</v>
      </c>
      <c r="I3" s="755">
        <f t="shared" ref="I3:I15" si="0">SUM(B3:H3)</f>
        <v>21</v>
      </c>
      <c r="J3" s="759">
        <f>B3*M3+C3*M4+D3*M5+E3*M6+F3*M7+G3*M8+H3*M9</f>
        <v>27</v>
      </c>
      <c r="K3" s="759">
        <f t="shared" ref="K3:K15" si="1">J3/8</f>
        <v>3.375</v>
      </c>
      <c r="L3" s="760" t="s">
        <v>1067</v>
      </c>
      <c r="M3" s="760">
        <v>2</v>
      </c>
    </row>
    <row r="4" spans="1:13" ht="15" x14ac:dyDescent="0.2">
      <c r="A4" s="753" t="s">
        <v>1079</v>
      </c>
      <c r="B4" s="757">
        <v>2</v>
      </c>
      <c r="C4" s="757">
        <v>2</v>
      </c>
      <c r="D4" s="758">
        <v>2</v>
      </c>
      <c r="E4" s="757">
        <v>2</v>
      </c>
      <c r="F4" s="757">
        <v>2</v>
      </c>
      <c r="G4" s="757">
        <v>1</v>
      </c>
      <c r="H4" s="757">
        <v>2</v>
      </c>
      <c r="I4" s="755">
        <f t="shared" si="0"/>
        <v>13</v>
      </c>
      <c r="J4" s="759">
        <f>B4*M3+C4*M4+D4*M5+E4*M6+F4*M7+G4*M8+H4*M9</f>
        <v>17.5</v>
      </c>
      <c r="K4" s="759">
        <f t="shared" si="1"/>
        <v>2.1875</v>
      </c>
      <c r="L4" s="760">
        <v>1</v>
      </c>
      <c r="M4" s="760">
        <v>2</v>
      </c>
    </row>
    <row r="5" spans="1:13" ht="15" x14ac:dyDescent="0.2">
      <c r="A5" s="753" t="s">
        <v>1080</v>
      </c>
      <c r="B5" s="757">
        <v>3</v>
      </c>
      <c r="C5" s="757">
        <v>3</v>
      </c>
      <c r="D5" s="758">
        <v>3</v>
      </c>
      <c r="E5" s="757">
        <v>3</v>
      </c>
      <c r="F5" s="757">
        <v>3</v>
      </c>
      <c r="G5" s="757">
        <v>3</v>
      </c>
      <c r="H5" s="757">
        <v>3</v>
      </c>
      <c r="I5" s="755">
        <f t="shared" si="0"/>
        <v>21</v>
      </c>
      <c r="J5" s="759">
        <f>B5*M3+C5*M4+D5*M5+E5*M6+F5*M7+G5*M8+H5*M9</f>
        <v>27</v>
      </c>
      <c r="K5" s="759">
        <f t="shared" si="1"/>
        <v>3.375</v>
      </c>
      <c r="L5" s="760">
        <v>2</v>
      </c>
      <c r="M5" s="760">
        <v>1.5</v>
      </c>
    </row>
    <row r="6" spans="1:13" ht="15" x14ac:dyDescent="0.2">
      <c r="A6" s="753" t="s">
        <v>1081</v>
      </c>
      <c r="B6" s="761">
        <v>3</v>
      </c>
      <c r="C6" s="761">
        <v>3</v>
      </c>
      <c r="D6" s="762">
        <v>3</v>
      </c>
      <c r="E6" s="761">
        <v>3</v>
      </c>
      <c r="F6" s="761">
        <v>3</v>
      </c>
      <c r="G6" s="761">
        <v>3</v>
      </c>
      <c r="H6" s="761">
        <v>3</v>
      </c>
      <c r="I6" s="755">
        <f t="shared" si="0"/>
        <v>21</v>
      </c>
      <c r="J6" s="759">
        <f>B6*M3+C6*M4+D6*M5+E6*M6+F6*M7+G6*M8+H6*M9</f>
        <v>27</v>
      </c>
      <c r="K6" s="759">
        <f t="shared" si="1"/>
        <v>3.375</v>
      </c>
      <c r="L6" s="760">
        <v>3</v>
      </c>
      <c r="M6" s="760">
        <v>1.5</v>
      </c>
    </row>
    <row r="7" spans="1:13" ht="15" x14ac:dyDescent="0.2">
      <c r="A7" s="753" t="s">
        <v>1082</v>
      </c>
      <c r="B7" s="757">
        <v>2</v>
      </c>
      <c r="C7" s="757">
        <v>2</v>
      </c>
      <c r="D7" s="758">
        <v>2</v>
      </c>
      <c r="E7" s="757">
        <v>2</v>
      </c>
      <c r="F7" s="757">
        <v>2</v>
      </c>
      <c r="G7" s="757">
        <v>2</v>
      </c>
      <c r="H7" s="757">
        <v>2</v>
      </c>
      <c r="I7" s="755">
        <f t="shared" si="0"/>
        <v>14</v>
      </c>
      <c r="J7" s="759">
        <f>B7*M3+C7*M4+D7*M5+E7*M6+F7*M7+G7*M8+H7*M9</f>
        <v>18</v>
      </c>
      <c r="K7" s="759">
        <f t="shared" si="1"/>
        <v>2.25</v>
      </c>
      <c r="L7" s="760">
        <v>4</v>
      </c>
      <c r="M7" s="760">
        <v>1</v>
      </c>
    </row>
    <row r="8" spans="1:13" ht="15" x14ac:dyDescent="0.2">
      <c r="A8" s="753" t="s">
        <v>1083</v>
      </c>
      <c r="B8" s="757">
        <v>2</v>
      </c>
      <c r="C8" s="757">
        <v>2</v>
      </c>
      <c r="D8" s="758">
        <v>2</v>
      </c>
      <c r="E8" s="757">
        <v>2</v>
      </c>
      <c r="F8" s="757">
        <v>2</v>
      </c>
      <c r="G8" s="757">
        <v>3</v>
      </c>
      <c r="H8" s="757">
        <v>3</v>
      </c>
      <c r="I8" s="755">
        <f t="shared" si="0"/>
        <v>16</v>
      </c>
      <c r="J8" s="759">
        <f>B8*M3+C8*M4+D8*M5+E8*M6+F8*M7+G8*M8+H8*M9</f>
        <v>19</v>
      </c>
      <c r="K8" s="759">
        <f t="shared" si="1"/>
        <v>2.375</v>
      </c>
      <c r="L8" s="760">
        <v>5</v>
      </c>
      <c r="M8" s="760">
        <v>0.5</v>
      </c>
    </row>
    <row r="9" spans="1:13" ht="15.75" thickBot="1" x14ac:dyDescent="0.25">
      <c r="A9" s="753" t="s">
        <v>1084</v>
      </c>
      <c r="B9" s="757">
        <v>2</v>
      </c>
      <c r="C9" s="757">
        <v>2</v>
      </c>
      <c r="D9" s="758">
        <v>2</v>
      </c>
      <c r="E9" s="757">
        <v>3</v>
      </c>
      <c r="F9" s="757">
        <v>3</v>
      </c>
      <c r="G9" s="757">
        <v>2</v>
      </c>
      <c r="H9" s="757">
        <v>3</v>
      </c>
      <c r="I9" s="755">
        <f t="shared" si="0"/>
        <v>17</v>
      </c>
      <c r="J9" s="759">
        <f>B9*M3+C9*M4+D9*M5+E9*M6+F9*M7+G9*M8+H9*M9</f>
        <v>21</v>
      </c>
      <c r="K9" s="759">
        <f t="shared" si="1"/>
        <v>2.625</v>
      </c>
      <c r="L9" s="760">
        <v>6</v>
      </c>
      <c r="M9" s="763">
        <v>0.5</v>
      </c>
    </row>
    <row r="10" spans="1:13" ht="15.75" thickTop="1" x14ac:dyDescent="0.2">
      <c r="A10" s="753" t="s">
        <v>1085</v>
      </c>
      <c r="B10" s="757">
        <v>3</v>
      </c>
      <c r="C10" s="757">
        <v>2</v>
      </c>
      <c r="D10" s="758">
        <v>2</v>
      </c>
      <c r="E10" s="757">
        <v>3</v>
      </c>
      <c r="F10" s="757">
        <v>2</v>
      </c>
      <c r="G10" s="757">
        <v>3</v>
      </c>
      <c r="H10" s="757">
        <v>3</v>
      </c>
      <c r="I10" s="755">
        <f t="shared" si="0"/>
        <v>18</v>
      </c>
      <c r="J10" s="759">
        <f>B10*M3+C10*M4+D10*M5+E10*M6+F10*M7+G10*M8+H10*M9</f>
        <v>22.5</v>
      </c>
      <c r="K10" s="759">
        <f t="shared" si="1"/>
        <v>2.8125</v>
      </c>
      <c r="L10" s="764"/>
      <c r="M10" s="765">
        <f>SUM(M3:M9)</f>
        <v>9</v>
      </c>
    </row>
    <row r="11" spans="1:13" ht="15" x14ac:dyDescent="0.2">
      <c r="A11" s="753" t="s">
        <v>1086</v>
      </c>
      <c r="B11" s="757">
        <v>3</v>
      </c>
      <c r="C11" s="757">
        <v>3</v>
      </c>
      <c r="D11" s="758">
        <v>2</v>
      </c>
      <c r="E11" s="757">
        <v>3</v>
      </c>
      <c r="F11" s="757">
        <v>1</v>
      </c>
      <c r="G11" s="757">
        <v>2</v>
      </c>
      <c r="H11" s="757">
        <v>2</v>
      </c>
      <c r="I11" s="755">
        <f t="shared" si="0"/>
        <v>16</v>
      </c>
      <c r="J11" s="759">
        <f>SUM(B11*M3,C11*M4,D11*M5,E11*M6,F11*M7,G11*M8,H11*M9)</f>
        <v>22.5</v>
      </c>
      <c r="K11" s="759">
        <f t="shared" si="1"/>
        <v>2.8125</v>
      </c>
      <c r="L11" s="764"/>
      <c r="M11" s="766"/>
    </row>
    <row r="12" spans="1:13" ht="15" x14ac:dyDescent="0.2">
      <c r="A12" s="753" t="s">
        <v>1087</v>
      </c>
      <c r="B12" s="757">
        <v>2</v>
      </c>
      <c r="C12" s="757">
        <v>2</v>
      </c>
      <c r="D12" s="758">
        <v>2</v>
      </c>
      <c r="E12" s="757">
        <v>3</v>
      </c>
      <c r="F12" s="757">
        <v>2</v>
      </c>
      <c r="G12" s="757">
        <v>2</v>
      </c>
      <c r="H12" s="757">
        <v>2</v>
      </c>
      <c r="I12" s="755">
        <f t="shared" si="0"/>
        <v>15</v>
      </c>
      <c r="J12" s="759">
        <f>B12*M3+C12*M4+D12*M5+E12*M6+F12*M7+G12*M8+H12*M9</f>
        <v>19.5</v>
      </c>
      <c r="K12" s="759">
        <f t="shared" si="1"/>
        <v>2.4375</v>
      </c>
      <c r="L12" s="764"/>
      <c r="M12" s="766"/>
    </row>
    <row r="13" spans="1:13" ht="15" x14ac:dyDescent="0.2">
      <c r="A13" s="753" t="s">
        <v>1088</v>
      </c>
      <c r="B13" s="767">
        <v>3</v>
      </c>
      <c r="C13" s="768">
        <v>3</v>
      </c>
      <c r="D13" s="767">
        <v>3</v>
      </c>
      <c r="E13" s="767">
        <v>3</v>
      </c>
      <c r="F13" s="767">
        <v>3</v>
      </c>
      <c r="G13" s="767">
        <v>3</v>
      </c>
      <c r="H13" s="767">
        <v>1</v>
      </c>
      <c r="I13" s="755">
        <f t="shared" si="0"/>
        <v>19</v>
      </c>
      <c r="J13" s="759">
        <f>B13*M3+C13*M4+D13*M5+E13*M6+F13*M7+G13*M8+H13*M9</f>
        <v>26</v>
      </c>
      <c r="K13" s="759">
        <f t="shared" si="1"/>
        <v>3.25</v>
      </c>
      <c r="L13" s="764"/>
      <c r="M13" s="766"/>
    </row>
    <row r="14" spans="1:13" ht="15" x14ac:dyDescent="0.2">
      <c r="A14" s="753" t="s">
        <v>1089</v>
      </c>
      <c r="B14" s="757">
        <v>3</v>
      </c>
      <c r="C14" s="757">
        <v>3</v>
      </c>
      <c r="D14" s="758">
        <v>3</v>
      </c>
      <c r="E14" s="757">
        <v>2</v>
      </c>
      <c r="F14" s="757">
        <v>2</v>
      </c>
      <c r="G14" s="757">
        <v>2</v>
      </c>
      <c r="H14" s="757">
        <v>2</v>
      </c>
      <c r="I14" s="755">
        <f t="shared" si="0"/>
        <v>17</v>
      </c>
      <c r="J14" s="759">
        <f>B14*M3+C14*M4+D14*M5+E14*M6+F14*M7+G14*M8+H14*M9</f>
        <v>23.5</v>
      </c>
      <c r="K14" s="759">
        <f t="shared" si="1"/>
        <v>2.9375</v>
      </c>
      <c r="L14" s="764"/>
      <c r="M14" s="766"/>
    </row>
    <row r="15" spans="1:13" ht="15" x14ac:dyDescent="0.2">
      <c r="A15" s="753" t="s">
        <v>1090</v>
      </c>
      <c r="B15" s="757">
        <v>2</v>
      </c>
      <c r="C15" s="757">
        <v>2</v>
      </c>
      <c r="D15" s="758">
        <v>3</v>
      </c>
      <c r="E15" s="757">
        <v>2</v>
      </c>
      <c r="F15" s="757">
        <v>2</v>
      </c>
      <c r="G15" s="757">
        <v>2</v>
      </c>
      <c r="H15" s="757">
        <v>3</v>
      </c>
      <c r="I15" s="755">
        <f t="shared" si="0"/>
        <v>16</v>
      </c>
      <c r="J15" s="759">
        <f>B15*M3+C15*M4+D15*M5+E15*M6+F15*M7+G15*M8+H15*M9</f>
        <v>20</v>
      </c>
      <c r="K15" s="759">
        <f t="shared" si="1"/>
        <v>2.5</v>
      </c>
      <c r="L15" s="764"/>
      <c r="M15" s="766"/>
    </row>
    <row r="16" spans="1:13" ht="25.5" x14ac:dyDescent="0.2">
      <c r="A16" s="769" t="s">
        <v>1091</v>
      </c>
      <c r="B16" s="770">
        <f t="shared" ref="B16:I16" si="2">SUM(B2:B15)</f>
        <v>36</v>
      </c>
      <c r="C16" s="770">
        <f t="shared" si="2"/>
        <v>35</v>
      </c>
      <c r="D16" s="770">
        <f t="shared" si="2"/>
        <v>35</v>
      </c>
      <c r="E16" s="770">
        <f t="shared" si="2"/>
        <v>37</v>
      </c>
      <c r="F16" s="770">
        <f t="shared" si="2"/>
        <v>33</v>
      </c>
      <c r="G16" s="770">
        <f t="shared" si="2"/>
        <v>34</v>
      </c>
      <c r="H16" s="770">
        <f t="shared" si="2"/>
        <v>35</v>
      </c>
      <c r="I16" s="771">
        <f t="shared" si="2"/>
        <v>245</v>
      </c>
      <c r="J16" s="772">
        <f>SUM(J2:J15)</f>
        <v>317.5</v>
      </c>
      <c r="K16" s="759"/>
      <c r="L16" s="773"/>
      <c r="M16" s="773"/>
    </row>
  </sheetData>
  <mergeCells count="1">
    <mergeCell ref="L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46"/>
  <sheetViews>
    <sheetView zoomScale="115" zoomScaleNormal="115" workbookViewId="0">
      <pane xSplit="1" topLeftCell="B1" activePane="topRight" state="frozen"/>
      <selection pane="topRight" activeCell="A16" sqref="A16:XFD16"/>
    </sheetView>
  </sheetViews>
  <sheetFormatPr defaultRowHeight="12.75" x14ac:dyDescent="0.2"/>
  <cols>
    <col min="1" max="1" width="30.5703125" style="395" bestFit="1" customWidth="1"/>
    <col min="2" max="2" width="8.42578125" style="415" bestFit="1" customWidth="1"/>
    <col min="3" max="3" width="10.85546875" style="395" bestFit="1" customWidth="1"/>
    <col min="4" max="4" width="22.85546875" style="425" bestFit="1" customWidth="1"/>
    <col min="5" max="5" width="22.140625" style="425" bestFit="1" customWidth="1"/>
    <col min="6" max="6" width="29.28515625" style="425" bestFit="1" customWidth="1"/>
    <col min="7" max="7" width="17.5703125" style="425" bestFit="1" customWidth="1"/>
    <col min="8" max="8" width="26.140625" style="425" bestFit="1" customWidth="1"/>
    <col min="9" max="9" width="28.5703125" style="425" bestFit="1" customWidth="1"/>
    <col min="10" max="10" width="23.140625" style="425" bestFit="1" customWidth="1"/>
    <col min="11" max="11" width="21.5703125" style="425" bestFit="1" customWidth="1"/>
    <col min="12" max="12" width="21.5703125" style="425" customWidth="1"/>
    <col min="13" max="13" width="13.5703125" style="425" bestFit="1" customWidth="1"/>
    <col min="14" max="14" width="17.5703125" style="425" bestFit="1" customWidth="1"/>
    <col min="15" max="15" width="15" style="425" bestFit="1" customWidth="1"/>
    <col min="16" max="16" width="26.28515625" style="425" bestFit="1" customWidth="1"/>
    <col min="17" max="17" width="13.5703125" style="425" customWidth="1"/>
    <col min="18" max="18" width="18.140625" style="425" customWidth="1"/>
    <col min="19" max="19" width="17.42578125" style="395" customWidth="1"/>
    <col min="20" max="20" width="23.42578125" style="425" customWidth="1"/>
    <col min="21" max="16384" width="9.140625" style="395"/>
  </cols>
  <sheetData>
    <row r="1" spans="1:20" x14ac:dyDescent="0.2">
      <c r="H1" s="877" t="s">
        <v>1320</v>
      </c>
      <c r="I1" s="877"/>
      <c r="J1" s="877"/>
      <c r="K1" s="877"/>
      <c r="L1" s="727"/>
    </row>
    <row r="2" spans="1:20" x14ac:dyDescent="0.2">
      <c r="H2" s="877" t="s">
        <v>960</v>
      </c>
      <c r="I2" s="877"/>
      <c r="J2" s="877"/>
      <c r="K2" s="877"/>
      <c r="L2" s="727"/>
    </row>
    <row r="3" spans="1:20" x14ac:dyDescent="0.2">
      <c r="P3" s="613" t="s">
        <v>1111</v>
      </c>
      <c r="Q3" s="613" t="s">
        <v>1112</v>
      </c>
    </row>
    <row r="4" spans="1:20" s="694" customFormat="1" ht="15" x14ac:dyDescent="0.25">
      <c r="A4" s="696" t="s">
        <v>1016</v>
      </c>
      <c r="B4" s="696" t="s">
        <v>961</v>
      </c>
      <c r="C4" s="696" t="s">
        <v>59</v>
      </c>
      <c r="D4" s="728" t="s">
        <v>1019</v>
      </c>
      <c r="E4" s="697" t="s">
        <v>880</v>
      </c>
      <c r="F4" s="697" t="s">
        <v>703</v>
      </c>
      <c r="G4" s="697" t="s">
        <v>134</v>
      </c>
      <c r="H4" s="697" t="s">
        <v>1020</v>
      </c>
      <c r="I4" s="697" t="s">
        <v>1017</v>
      </c>
      <c r="J4" s="697" t="s">
        <v>1005</v>
      </c>
      <c r="K4" s="697" t="s">
        <v>0</v>
      </c>
      <c r="L4" s="697" t="s">
        <v>392</v>
      </c>
      <c r="M4" s="697" t="s">
        <v>14</v>
      </c>
      <c r="N4" s="697" t="s">
        <v>1018</v>
      </c>
      <c r="O4" s="697" t="s">
        <v>19</v>
      </c>
      <c r="P4" s="697" t="s">
        <v>963</v>
      </c>
      <c r="Q4" s="697" t="s">
        <v>964</v>
      </c>
      <c r="R4" s="697" t="s">
        <v>965</v>
      </c>
      <c r="S4" s="696" t="s">
        <v>966</v>
      </c>
      <c r="T4" s="720" t="s">
        <v>1011</v>
      </c>
    </row>
    <row r="5" spans="1:20" ht="15" x14ac:dyDescent="0.25">
      <c r="A5" s="699"/>
      <c r="B5" s="696" t="s">
        <v>1198</v>
      </c>
      <c r="C5" s="696" t="s">
        <v>61</v>
      </c>
      <c r="D5" s="697" t="s">
        <v>962</v>
      </c>
      <c r="E5" s="728"/>
      <c r="F5" s="728"/>
      <c r="G5" s="700"/>
      <c r="H5" s="700"/>
      <c r="I5" s="700"/>
      <c r="J5" s="697" t="s">
        <v>787</v>
      </c>
      <c r="K5" s="728" t="s">
        <v>1107</v>
      </c>
      <c r="L5" s="697" t="s">
        <v>1024</v>
      </c>
      <c r="M5" s="700"/>
      <c r="N5" s="697" t="s">
        <v>967</v>
      </c>
      <c r="O5" s="697"/>
      <c r="P5" s="700" t="s">
        <v>968</v>
      </c>
      <c r="Q5" s="701"/>
      <c r="R5" s="697" t="s">
        <v>969</v>
      </c>
      <c r="S5" s="696" t="s">
        <v>969</v>
      </c>
      <c r="T5" s="703" t="s">
        <v>1012</v>
      </c>
    </row>
    <row r="6" spans="1:20" x14ac:dyDescent="0.2">
      <c r="A6" s="716" t="s">
        <v>970</v>
      </c>
      <c r="B6" s="716"/>
      <c r="C6" s="716" t="s">
        <v>996</v>
      </c>
      <c r="D6" s="716" t="s">
        <v>997</v>
      </c>
      <c r="E6" s="716" t="s">
        <v>998</v>
      </c>
      <c r="F6" s="716" t="s">
        <v>998</v>
      </c>
      <c r="G6" s="716" t="s">
        <v>999</v>
      </c>
      <c r="H6" s="716" t="s">
        <v>1000</v>
      </c>
      <c r="I6" s="716" t="s">
        <v>1001</v>
      </c>
      <c r="J6" s="716" t="s">
        <v>1002</v>
      </c>
      <c r="K6" s="716" t="s">
        <v>1003</v>
      </c>
      <c r="L6" s="716" t="s">
        <v>1003</v>
      </c>
      <c r="M6" s="716" t="s">
        <v>997</v>
      </c>
      <c r="N6" s="716" t="s">
        <v>1004</v>
      </c>
      <c r="O6" s="716" t="s">
        <v>1004</v>
      </c>
      <c r="P6" s="716" t="s">
        <v>1108</v>
      </c>
      <c r="Q6" s="716"/>
      <c r="R6" s="716" t="s">
        <v>1109</v>
      </c>
      <c r="S6" s="716" t="s">
        <v>1110</v>
      </c>
      <c r="T6" s="721"/>
    </row>
    <row r="7" spans="1:20" x14ac:dyDescent="0.2">
      <c r="A7" s="717"/>
      <c r="B7" s="717"/>
      <c r="C7" s="717"/>
      <c r="D7" s="717"/>
      <c r="E7" s="717"/>
      <c r="F7" s="717"/>
      <c r="G7" s="717"/>
      <c r="H7" s="717"/>
      <c r="I7" s="717"/>
      <c r="J7" s="717"/>
      <c r="K7" s="717"/>
      <c r="L7" s="717"/>
      <c r="M7" s="717"/>
      <c r="N7" s="717"/>
      <c r="O7" s="717"/>
      <c r="P7" s="717"/>
      <c r="Q7" s="717"/>
      <c r="R7" s="717"/>
      <c r="S7" s="717"/>
      <c r="T7" s="722"/>
    </row>
    <row r="8" spans="1:20" s="415" customFormat="1" x14ac:dyDescent="0.2">
      <c r="A8" s="702" t="s">
        <v>1006</v>
      </c>
      <c r="B8" s="702"/>
      <c r="C8" s="702"/>
      <c r="D8" s="703" t="s">
        <v>971</v>
      </c>
      <c r="E8" s="703" t="s">
        <v>972</v>
      </c>
      <c r="F8" s="703" t="s">
        <v>974</v>
      </c>
      <c r="G8" s="703" t="s">
        <v>971</v>
      </c>
      <c r="H8" s="703" t="s">
        <v>101</v>
      </c>
      <c r="I8" s="703" t="s">
        <v>973</v>
      </c>
      <c r="J8" s="702" t="s">
        <v>974</v>
      </c>
      <c r="K8" s="703" t="s">
        <v>975</v>
      </c>
      <c r="L8" s="703" t="s">
        <v>1025</v>
      </c>
      <c r="M8" s="703" t="s">
        <v>976</v>
      </c>
      <c r="N8" s="703" t="s">
        <v>977</v>
      </c>
      <c r="O8" s="703" t="s">
        <v>978</v>
      </c>
      <c r="P8" s="703" t="s">
        <v>979</v>
      </c>
      <c r="Q8" s="703" t="s">
        <v>979</v>
      </c>
      <c r="R8" s="703" t="s">
        <v>1177</v>
      </c>
      <c r="S8" s="702" t="s">
        <v>1178</v>
      </c>
      <c r="T8" s="723"/>
    </row>
    <row r="9" spans="1:20" s="415" customFormat="1" x14ac:dyDescent="0.2">
      <c r="A9" s="718"/>
      <c r="B9" s="83"/>
      <c r="C9" s="83"/>
      <c r="D9" s="630"/>
      <c r="E9" s="630"/>
      <c r="F9" s="630"/>
      <c r="G9" s="630"/>
      <c r="H9" s="630"/>
      <c r="I9" s="630"/>
      <c r="J9" s="83"/>
      <c r="K9" s="630"/>
      <c r="L9" s="630"/>
      <c r="M9" s="630"/>
      <c r="N9" s="630"/>
      <c r="O9" s="630"/>
      <c r="P9" s="630"/>
      <c r="Q9" s="630"/>
      <c r="R9" s="630"/>
      <c r="S9" s="83"/>
      <c r="T9" s="723"/>
    </row>
    <row r="10" spans="1:20" ht="15" x14ac:dyDescent="0.25">
      <c r="A10" s="267"/>
      <c r="B10" s="87"/>
      <c r="C10" s="267"/>
      <c r="D10" s="708" t="s">
        <v>1173</v>
      </c>
      <c r="E10" s="643"/>
      <c r="F10" s="708" t="s">
        <v>1022</v>
      </c>
      <c r="G10" s="643"/>
      <c r="H10" s="708" t="s">
        <v>1175</v>
      </c>
      <c r="I10" s="643"/>
      <c r="J10" s="643"/>
      <c r="K10" s="643"/>
      <c r="L10" s="643"/>
      <c r="M10" s="643"/>
      <c r="N10" s="643"/>
      <c r="O10" s="643"/>
      <c r="P10" s="643"/>
      <c r="Q10" s="643"/>
      <c r="R10" s="643"/>
      <c r="S10" s="267"/>
      <c r="T10" s="722"/>
    </row>
    <row r="11" spans="1:20" s="694" customFormat="1" ht="15" x14ac:dyDescent="0.25">
      <c r="A11" s="707" t="s">
        <v>980</v>
      </c>
      <c r="B11" s="707"/>
      <c r="C11" s="707"/>
      <c r="D11" s="708" t="s">
        <v>1321</v>
      </c>
      <c r="E11" s="708" t="s">
        <v>981</v>
      </c>
      <c r="F11" s="708" t="s">
        <v>1023</v>
      </c>
      <c r="G11" s="708">
        <v>3.15</v>
      </c>
      <c r="H11" s="708" t="s">
        <v>1176</v>
      </c>
      <c r="I11" s="708" t="s">
        <v>982</v>
      </c>
      <c r="J11" s="708" t="s">
        <v>983</v>
      </c>
      <c r="K11" s="708" t="s">
        <v>984</v>
      </c>
      <c r="L11" s="708" t="s">
        <v>984</v>
      </c>
      <c r="M11" s="708" t="s">
        <v>984</v>
      </c>
      <c r="N11" s="708">
        <v>5.62</v>
      </c>
      <c r="O11" s="709" t="s">
        <v>985</v>
      </c>
      <c r="P11" s="708" t="s">
        <v>986</v>
      </c>
      <c r="Q11" s="708">
        <v>500</v>
      </c>
      <c r="R11" s="708" t="s">
        <v>1318</v>
      </c>
      <c r="S11" s="707" t="s">
        <v>1319</v>
      </c>
      <c r="T11" s="724"/>
    </row>
    <row r="12" spans="1:20" x14ac:dyDescent="0.2">
      <c r="A12" s="705" t="s">
        <v>1105</v>
      </c>
      <c r="B12" s="704" t="s">
        <v>987</v>
      </c>
      <c r="C12" s="705">
        <f>'5-Enrollment Projection'!$E$16</f>
        <v>209</v>
      </c>
      <c r="D12" s="706">
        <f>'6-Schools'!C17</f>
        <v>33231</v>
      </c>
      <c r="E12" s="706">
        <f>'7-Nurse'!C16</f>
        <v>289.39999999999998</v>
      </c>
      <c r="F12" s="706">
        <f>'7-Nurse'!D16</f>
        <v>120.81</v>
      </c>
      <c r="G12" s="706">
        <f>'8-Capital Equip-Schools'!F16</f>
        <v>658.35</v>
      </c>
      <c r="H12" s="823">
        <f>'9-Lib-Media'!D16</f>
        <v>3093.2</v>
      </c>
      <c r="I12" s="706">
        <f>'10-Admin'!D16</f>
        <v>3078</v>
      </c>
      <c r="J12" s="706">
        <f>'11-School Improvment'!C15</f>
        <v>461</v>
      </c>
      <c r="K12" s="706">
        <v>0</v>
      </c>
      <c r="L12" s="706">
        <v>0</v>
      </c>
      <c r="M12" s="706">
        <v>0</v>
      </c>
      <c r="N12" s="706">
        <f>'13-Custodial'!E16+'13-Custodial'!G16</f>
        <v>1174.58</v>
      </c>
      <c r="O12" s="706">
        <f>'13-Custodial'!C16</f>
        <v>1992.94</v>
      </c>
      <c r="P12" s="706">
        <f>'14-Special Prog'!S15</f>
        <v>1200</v>
      </c>
      <c r="Q12" s="706">
        <v>250</v>
      </c>
      <c r="R12" s="706">
        <f>'15-Prof''l Dev-Certified'!C18</f>
        <v>4763.1232596899708</v>
      </c>
      <c r="S12" s="706">
        <f>'16-Prof''l Dev-ESP'!C19</f>
        <v>1662.6278455051845</v>
      </c>
      <c r="T12" s="710">
        <f t="shared" ref="T12:T25" si="0">SUM(D12:S12)</f>
        <v>51975.031105195158</v>
      </c>
    </row>
    <row r="13" spans="1:20" x14ac:dyDescent="0.2">
      <c r="A13" s="705" t="s">
        <v>42</v>
      </c>
      <c r="B13" s="704" t="s">
        <v>987</v>
      </c>
      <c r="C13" s="705">
        <f>'5-Enrollment Projection'!$E$23</f>
        <v>309</v>
      </c>
      <c r="D13" s="706">
        <f>'6-Schools'!C24</f>
        <v>47586</v>
      </c>
      <c r="E13" s="706">
        <f>'7-Nurse'!C23</f>
        <v>375.4</v>
      </c>
      <c r="F13" s="706">
        <f>'7-Nurse'!D23</f>
        <v>166.21</v>
      </c>
      <c r="G13" s="706">
        <f>'8-Capital Equip-Schools'!F23</f>
        <v>1243.3499999999999</v>
      </c>
      <c r="H13" s="823">
        <f>'9-Lib-Media'!D23</f>
        <v>4047.9</v>
      </c>
      <c r="I13" s="706">
        <f>'10-Admin'!D23</f>
        <v>3440.85</v>
      </c>
      <c r="J13" s="706">
        <f>'11-School Improvment'!C22</f>
        <v>658</v>
      </c>
      <c r="K13" s="706">
        <v>0</v>
      </c>
      <c r="L13" s="706">
        <v>0</v>
      </c>
      <c r="M13" s="706">
        <v>0</v>
      </c>
      <c r="N13" s="706">
        <f>'13-Custodial'!E23+'13-Custodial'!G23</f>
        <v>1736.58</v>
      </c>
      <c r="O13" s="706">
        <f>'13-Custodial'!C23</f>
        <v>2079.41</v>
      </c>
      <c r="P13" s="706">
        <f>'14-Special Prog'!S22</f>
        <v>1500</v>
      </c>
      <c r="Q13" s="706">
        <v>500</v>
      </c>
      <c r="R13" s="706">
        <f>'15-Prof''l Dev-Certified'!C25</f>
        <v>4901.8899986215365</v>
      </c>
      <c r="S13" s="706">
        <f>'16-Prof''l Dev-ESP'!C26</f>
        <v>2093.2364961396206</v>
      </c>
      <c r="T13" s="710">
        <f t="shared" si="0"/>
        <v>70328.826494761161</v>
      </c>
    </row>
    <row r="14" spans="1:20" x14ac:dyDescent="0.2">
      <c r="A14" s="705" t="s">
        <v>39</v>
      </c>
      <c r="B14" s="704" t="s">
        <v>987</v>
      </c>
      <c r="C14" s="705">
        <f>'5-Enrollment Projection'!$E$19</f>
        <v>259</v>
      </c>
      <c r="D14" s="706">
        <f>'6-Schools'!C20</f>
        <v>39886</v>
      </c>
      <c r="E14" s="706">
        <f>'7-Nurse'!C19</f>
        <v>332.4</v>
      </c>
      <c r="F14" s="706">
        <f>'7-Nurse'!D19</f>
        <v>120.81</v>
      </c>
      <c r="G14" s="706">
        <f>'8-Capital Equip-Schools'!F19</f>
        <v>815.85</v>
      </c>
      <c r="H14" s="823">
        <f>'9-Lib-Media'!D19</f>
        <v>3833.2</v>
      </c>
      <c r="I14" s="706">
        <f>'10-Admin'!D19</f>
        <v>3133.35</v>
      </c>
      <c r="J14" s="706">
        <f>'11-School Improvment'!C18</f>
        <v>658</v>
      </c>
      <c r="K14" s="706">
        <v>0</v>
      </c>
      <c r="L14" s="706">
        <v>0</v>
      </c>
      <c r="M14" s="706">
        <v>0</v>
      </c>
      <c r="N14" s="706">
        <f>'13-Custodial'!E19+'13-Custodial'!G19</f>
        <v>1455.58</v>
      </c>
      <c r="O14" s="706">
        <f>'13-Custodial'!C19</f>
        <v>1356.02</v>
      </c>
      <c r="P14" s="706">
        <f>'14-Special Prog'!S18</f>
        <v>1200</v>
      </c>
      <c r="Q14" s="706">
        <v>500</v>
      </c>
      <c r="R14" s="706">
        <f>'15-Prof''l Dev-Certified'!C21</f>
        <v>4793.760072181356</v>
      </c>
      <c r="S14" s="706">
        <f>'16-Prof''l Dev-ESP'!C22</f>
        <v>2399.4470921463308</v>
      </c>
      <c r="T14" s="710">
        <f t="shared" si="0"/>
        <v>60484.417164327679</v>
      </c>
    </row>
    <row r="15" spans="1:20" x14ac:dyDescent="0.2">
      <c r="A15" s="705" t="s">
        <v>45</v>
      </c>
      <c r="B15" s="704" t="s">
        <v>987</v>
      </c>
      <c r="C15" s="705">
        <f>'5-Enrollment Projection'!$E$27</f>
        <v>314</v>
      </c>
      <c r="D15" s="706">
        <f>'6-Schools'!C29</f>
        <v>48356</v>
      </c>
      <c r="E15" s="706">
        <f>'7-Nurse'!C27</f>
        <v>379.70000000000005</v>
      </c>
      <c r="F15" s="706">
        <f>'7-Nurse'!D27</f>
        <v>166.21</v>
      </c>
      <c r="G15" s="706">
        <f>'8-Capital Equip-Schools'!F27</f>
        <v>989.1</v>
      </c>
      <c r="H15" s="823">
        <f>'9-Lib-Media'!D27</f>
        <v>4113.3999999999996</v>
      </c>
      <c r="I15" s="706">
        <f>'10-Admin'!D27</f>
        <v>3471.6</v>
      </c>
      <c r="J15" s="706">
        <f>'11-School Improvment'!C26</f>
        <v>658</v>
      </c>
      <c r="K15" s="706">
        <v>0</v>
      </c>
      <c r="L15" s="706">
        <v>0</v>
      </c>
      <c r="M15" s="706">
        <v>0</v>
      </c>
      <c r="N15" s="706">
        <f>'13-Custodial'!E27+'13-Custodial'!G27</f>
        <v>1764.6799999999998</v>
      </c>
      <c r="O15" s="706">
        <f>'13-Custodial'!C27</f>
        <v>1840.7</v>
      </c>
      <c r="P15" s="706">
        <f>'14-Special Prog'!S26</f>
        <v>1200</v>
      </c>
      <c r="Q15" s="706">
        <v>0</v>
      </c>
      <c r="R15" s="706">
        <f>'15-Prof''l Dev-Certified'!C29</f>
        <v>5316.3880499755633</v>
      </c>
      <c r="S15" s="706">
        <f>'16-Prof''l Dev-ESP'!C30</f>
        <v>1906.6394141980315</v>
      </c>
      <c r="T15" s="710">
        <f t="shared" si="0"/>
        <v>70162.417464173588</v>
      </c>
    </row>
    <row r="16" spans="1:20" x14ac:dyDescent="0.2">
      <c r="A16" s="705" t="s">
        <v>43</v>
      </c>
      <c r="B16" s="704" t="s">
        <v>988</v>
      </c>
      <c r="C16" s="705">
        <f>'5-Enrollment Projection'!$E$24</f>
        <v>280</v>
      </c>
      <c r="D16" s="706">
        <f>'6-Schools'!C25</f>
        <v>43120</v>
      </c>
      <c r="E16" s="706">
        <f>'7-Nurse'!C24</f>
        <v>350.46</v>
      </c>
      <c r="F16" s="706">
        <f>'7-Nurse'!D24</f>
        <v>120.81</v>
      </c>
      <c r="G16" s="706">
        <f>'8-Capital Equip-Schools'!F24</f>
        <v>882</v>
      </c>
      <c r="H16" s="823">
        <f>'9-Lib-Media'!D24</f>
        <v>4144</v>
      </c>
      <c r="I16" s="706">
        <f>'10-Admin'!D24</f>
        <v>3262.5</v>
      </c>
      <c r="J16" s="706">
        <f>'11-School Improvment'!C23</f>
        <v>658</v>
      </c>
      <c r="K16" s="706">
        <v>0</v>
      </c>
      <c r="L16" s="706">
        <v>0</v>
      </c>
      <c r="M16" s="706">
        <v>0</v>
      </c>
      <c r="N16" s="706">
        <f>'13-Custodial'!E24+'13-Custodial'!G24</f>
        <v>1573.6</v>
      </c>
      <c r="O16" s="706">
        <f>'13-Custodial'!C24</f>
        <v>2849.74</v>
      </c>
      <c r="P16" s="706">
        <f>'14-Special Prog'!S23</f>
        <v>1600</v>
      </c>
      <c r="Q16" s="706">
        <v>0</v>
      </c>
      <c r="R16" s="706">
        <f>'15-Prof''l Dev-Certified'!C26</f>
        <v>5280.3447411621701</v>
      </c>
      <c r="S16" s="706">
        <f>'16-Prof''l Dev-ESP'!C27</f>
        <v>1764.2993324605375</v>
      </c>
      <c r="T16" s="710">
        <f t="shared" si="0"/>
        <v>65605.754073622695</v>
      </c>
    </row>
    <row r="17" spans="1:20" x14ac:dyDescent="0.2">
      <c r="A17" s="705" t="s">
        <v>818</v>
      </c>
      <c r="B17" s="704" t="s">
        <v>988</v>
      </c>
      <c r="C17" s="705">
        <f>'5-Enrollment Projection'!$E$25</f>
        <v>406</v>
      </c>
      <c r="D17" s="706">
        <f>'6-Schools'!C26</f>
        <v>62524</v>
      </c>
      <c r="E17" s="706">
        <f>'7-Nurse'!C25</f>
        <v>458.81999999999994</v>
      </c>
      <c r="F17" s="706">
        <f>'7-Nurse'!D25</f>
        <v>210.84</v>
      </c>
      <c r="G17" s="706">
        <f>'8-Capital Equip-Schools'!F25</f>
        <v>1278.9000000000001</v>
      </c>
      <c r="H17" s="823">
        <f>'9-Lib-Media'!D25</f>
        <v>5318.6</v>
      </c>
      <c r="I17" s="706">
        <f>'10-Admin'!D25</f>
        <v>4037.4</v>
      </c>
      <c r="J17" s="706">
        <f>'11-School Improvment'!C24</f>
        <v>658</v>
      </c>
      <c r="K17" s="706">
        <v>0</v>
      </c>
      <c r="L17" s="706">
        <v>0</v>
      </c>
      <c r="M17" s="706">
        <v>0</v>
      </c>
      <c r="N17" s="706">
        <f>'13-Custodial'!E25+'13-Custodial'!G25</f>
        <v>2281.7199999999998</v>
      </c>
      <c r="O17" s="706">
        <f>'13-Custodial'!C25</f>
        <v>2359.31</v>
      </c>
      <c r="P17" s="706">
        <f>'14-Special Prog'!S24</f>
        <v>1900</v>
      </c>
      <c r="Q17" s="706">
        <v>0</v>
      </c>
      <c r="R17" s="706">
        <f>'15-Prof''l Dev-Certified'!C27</f>
        <v>6055.2758806501333</v>
      </c>
      <c r="S17" s="706">
        <f>'16-Prof''l Dev-ESP'!C28</f>
        <v>1943.7196035582192</v>
      </c>
      <c r="T17" s="710">
        <f t="shared" si="0"/>
        <v>89026.58548420835</v>
      </c>
    </row>
    <row r="18" spans="1:20" x14ac:dyDescent="0.2">
      <c r="A18" s="705" t="s">
        <v>40</v>
      </c>
      <c r="B18" s="704" t="s">
        <v>988</v>
      </c>
      <c r="C18" s="705">
        <f>'5-Enrollment Projection'!$E$20</f>
        <v>333</v>
      </c>
      <c r="D18" s="706">
        <f>'6-Schools'!C21</f>
        <v>51282</v>
      </c>
      <c r="E18" s="706">
        <f>'7-Nurse'!C20</f>
        <v>396.03999999999996</v>
      </c>
      <c r="F18" s="706">
        <f>'7-Nurse'!D20</f>
        <v>166.21</v>
      </c>
      <c r="G18" s="706">
        <f>'8-Capital Equip-Schools'!F20</f>
        <v>1048.95</v>
      </c>
      <c r="H18" s="823">
        <f>'9-Lib-Media'!D20</f>
        <v>4362.3</v>
      </c>
      <c r="I18" s="706">
        <f>'10-Admin'!D20</f>
        <v>3588.45</v>
      </c>
      <c r="J18" s="706">
        <f>'11-School Improvment'!C19</f>
        <v>658</v>
      </c>
      <c r="K18" s="706">
        <v>0</v>
      </c>
      <c r="L18" s="706">
        <v>0</v>
      </c>
      <c r="M18" s="706">
        <v>0</v>
      </c>
      <c r="N18" s="706">
        <f>'13-Custodial'!E20+'13-Custodial'!G20</f>
        <v>1871.46</v>
      </c>
      <c r="O18" s="706">
        <f>'13-Custodial'!C20</f>
        <v>2226.14</v>
      </c>
      <c r="P18" s="706">
        <f>'14-Special Prog'!S19</f>
        <v>2300</v>
      </c>
      <c r="Q18" s="706">
        <v>0</v>
      </c>
      <c r="R18" s="706">
        <f>'15-Prof''l Dev-Certified'!C22</f>
        <v>5604.7345204827134</v>
      </c>
      <c r="S18" s="706">
        <f>'16-Prof''l Dev-ESP'!C23</f>
        <v>2736.7572018099727</v>
      </c>
      <c r="T18" s="710">
        <f t="shared" si="0"/>
        <v>76241.041722292692</v>
      </c>
    </row>
    <row r="19" spans="1:20" x14ac:dyDescent="0.2">
      <c r="A19" s="705" t="s">
        <v>667</v>
      </c>
      <c r="B19" s="704" t="s">
        <v>988</v>
      </c>
      <c r="C19" s="705">
        <f>'5-Enrollment Projection'!$E$21</f>
        <v>350</v>
      </c>
      <c r="D19" s="706">
        <f>'6-Schools'!C22</f>
        <v>53900</v>
      </c>
      <c r="E19" s="706">
        <f>'7-Nurse'!C21</f>
        <v>410.65999999999997</v>
      </c>
      <c r="F19" s="706">
        <f>'7-Nurse'!D21</f>
        <v>166.21</v>
      </c>
      <c r="G19" s="706">
        <f>'8-Capital Equip-Schools'!F21</f>
        <v>1102.5</v>
      </c>
      <c r="H19" s="823">
        <f>'9-Lib-Media'!D21</f>
        <v>4585</v>
      </c>
      <c r="I19" s="706">
        <f>'10-Admin'!D21</f>
        <v>3693</v>
      </c>
      <c r="J19" s="706">
        <f>'11-School Improvment'!C20</f>
        <v>658</v>
      </c>
      <c r="K19" s="706">
        <v>0</v>
      </c>
      <c r="L19" s="706">
        <v>0</v>
      </c>
      <c r="M19" s="706">
        <v>0</v>
      </c>
      <c r="N19" s="706">
        <f>'13-Custodial'!E21+'13-Custodial'!G21</f>
        <v>1967</v>
      </c>
      <c r="O19" s="706">
        <f>'13-Custodial'!C21</f>
        <v>2342.6999999999998</v>
      </c>
      <c r="P19" s="706">
        <f>'14-Special Prog'!S20</f>
        <v>2400</v>
      </c>
      <c r="Q19" s="706">
        <v>0</v>
      </c>
      <c r="R19" s="706">
        <f>'15-Prof''l Dev-Certified'!C23</f>
        <v>6181.4274614970109</v>
      </c>
      <c r="S19" s="706">
        <f>'16-Prof''l Dev-ESP'!C24</f>
        <v>2877.9011484068155</v>
      </c>
      <c r="T19" s="710">
        <f t="shared" si="0"/>
        <v>80284.398609903816</v>
      </c>
    </row>
    <row r="20" spans="1:20" x14ac:dyDescent="0.2">
      <c r="A20" s="705" t="s">
        <v>35</v>
      </c>
      <c r="B20" s="704" t="s">
        <v>988</v>
      </c>
      <c r="C20" s="705">
        <f>'5-Enrollment Projection'!$E$15</f>
        <v>372</v>
      </c>
      <c r="D20" s="706">
        <f>'6-Schools'!C16</f>
        <v>57288</v>
      </c>
      <c r="E20" s="706">
        <f>'7-Nurse'!C15</f>
        <v>429.58000000000004</v>
      </c>
      <c r="F20" s="706">
        <f>'7-Nurse'!D15</f>
        <v>166.21</v>
      </c>
      <c r="G20" s="706">
        <f>'8-Capital Equip-Schools'!F15</f>
        <v>1171.8</v>
      </c>
      <c r="H20" s="823">
        <f>'9-Lib-Media'!D15</f>
        <v>4873.2</v>
      </c>
      <c r="I20" s="706">
        <f>'10-Admin'!D15</f>
        <v>3828.3</v>
      </c>
      <c r="J20" s="706">
        <f>'11-School Improvment'!C14</f>
        <v>658</v>
      </c>
      <c r="K20" s="706">
        <v>0</v>
      </c>
      <c r="L20" s="706">
        <v>0</v>
      </c>
      <c r="M20" s="706">
        <v>0</v>
      </c>
      <c r="N20" s="706">
        <f>'13-Custodial'!E15+'13-Custodial'!G15</f>
        <v>2090.64</v>
      </c>
      <c r="O20" s="706">
        <f>'13-Custodial'!C15</f>
        <v>1930.28</v>
      </c>
      <c r="P20" s="706">
        <f>'14-Special Prog'!S14</f>
        <v>2400</v>
      </c>
      <c r="Q20" s="706">
        <v>0</v>
      </c>
      <c r="R20" s="706">
        <f>'15-Prof''l Dev-Certified'!C17</f>
        <v>6938.336946578278</v>
      </c>
      <c r="S20" s="706">
        <f>'16-Prof''l Dev-ESP'!C18</f>
        <v>2974.7880947995641</v>
      </c>
      <c r="T20" s="710">
        <f t="shared" si="0"/>
        <v>84749.135041377827</v>
      </c>
    </row>
    <row r="21" spans="1:20" x14ac:dyDescent="0.2">
      <c r="A21" s="705" t="s">
        <v>44</v>
      </c>
      <c r="B21" s="704" t="s">
        <v>987</v>
      </c>
      <c r="C21" s="705">
        <f>'5-Enrollment Projection'!$E$26</f>
        <v>348</v>
      </c>
      <c r="D21" s="706">
        <f>'6-Schools'!C27</f>
        <v>53592</v>
      </c>
      <c r="E21" s="706">
        <f>'7-Nurse'!C26</f>
        <v>408.93999999999994</v>
      </c>
      <c r="F21" s="706">
        <f>'7-Nurse'!D26</f>
        <v>166.21</v>
      </c>
      <c r="G21" s="706">
        <f>'8-Capital Equip-Schools'!F26</f>
        <v>1096.2</v>
      </c>
      <c r="H21" s="823">
        <f>'9-Lib-Media'!D26</f>
        <v>4558.8</v>
      </c>
      <c r="I21" s="706">
        <f>'10-Admin'!D26</f>
        <v>3680.7</v>
      </c>
      <c r="J21" s="706">
        <f>'11-School Improvment'!C25</f>
        <v>658</v>
      </c>
      <c r="K21" s="706">
        <v>0</v>
      </c>
      <c r="L21" s="706">
        <v>0</v>
      </c>
      <c r="M21" s="706">
        <v>0</v>
      </c>
      <c r="N21" s="706">
        <f>'13-Custodial'!E26+'13-Custodial'!G26</f>
        <v>1955.76</v>
      </c>
      <c r="O21" s="706">
        <f>'13-Custodial'!C26</f>
        <v>2022.39</v>
      </c>
      <c r="P21" s="706">
        <f>'14-Special Prog'!S25</f>
        <v>1900</v>
      </c>
      <c r="Q21" s="706">
        <v>0</v>
      </c>
      <c r="R21" s="706">
        <f>'15-Prof''l Dev-Certified'!C28</f>
        <v>6109.3408438702236</v>
      </c>
      <c r="S21" s="706">
        <f>'16-Prof''l Dev-ESP'!C29</f>
        <v>2242.753388721022</v>
      </c>
      <c r="T21" s="710">
        <f t="shared" si="0"/>
        <v>78391.094232591233</v>
      </c>
    </row>
    <row r="22" spans="1:20" x14ac:dyDescent="0.2">
      <c r="A22" s="705" t="s">
        <v>37</v>
      </c>
      <c r="B22" s="704" t="s">
        <v>987</v>
      </c>
      <c r="C22" s="705">
        <f>'5-Enrollment Projection'!$E$17</f>
        <v>408</v>
      </c>
      <c r="D22" s="706">
        <f>'6-Schools'!C18</f>
        <v>62832</v>
      </c>
      <c r="E22" s="706">
        <f>'7-Nurse'!C17</f>
        <v>460.53999999999996</v>
      </c>
      <c r="F22" s="706">
        <f>'7-Nurse'!D17</f>
        <v>210.84</v>
      </c>
      <c r="G22" s="706">
        <f>'8-Capital Equip-Schools'!F17</f>
        <v>1285.2</v>
      </c>
      <c r="H22" s="823">
        <f>'9-Lib-Media'!D17</f>
        <v>5344.8</v>
      </c>
      <c r="I22" s="706">
        <f>'10-Admin'!D17</f>
        <v>4049.7</v>
      </c>
      <c r="J22" s="706">
        <f>'11-School Improvment'!C16</f>
        <v>658</v>
      </c>
      <c r="K22" s="706">
        <v>0</v>
      </c>
      <c r="L22" s="706">
        <v>0</v>
      </c>
      <c r="M22" s="706">
        <v>0</v>
      </c>
      <c r="N22" s="706">
        <f>'13-Custodial'!E17+'13-Custodial'!G17</f>
        <v>2292.96</v>
      </c>
      <c r="O22" s="706">
        <f>'13-Custodial'!C17</f>
        <v>2349.75</v>
      </c>
      <c r="P22" s="706">
        <f>'14-Special Prog'!S16</f>
        <v>3500</v>
      </c>
      <c r="Q22" s="706">
        <v>500</v>
      </c>
      <c r="R22" s="706">
        <f>'15-Prof''l Dev-Certified'!C19</f>
        <v>7936.7366007092814</v>
      </c>
      <c r="S22" s="706">
        <f>'16-Prof''l Dev-ESP'!C20</f>
        <v>4179.2961814353339</v>
      </c>
      <c r="T22" s="710">
        <f t="shared" si="0"/>
        <v>95599.822782144605</v>
      </c>
    </row>
    <row r="23" spans="1:20" x14ac:dyDescent="0.2">
      <c r="A23" s="705" t="s">
        <v>693</v>
      </c>
      <c r="B23" s="704" t="s">
        <v>988</v>
      </c>
      <c r="C23" s="705">
        <f>'5-Enrollment Projection'!$E$14</f>
        <v>417</v>
      </c>
      <c r="D23" s="706">
        <f>'6-Schools'!C15</f>
        <v>64218</v>
      </c>
      <c r="E23" s="706">
        <f>'7-Nurse'!C14</f>
        <v>468.28</v>
      </c>
      <c r="F23" s="706">
        <f>'7-Nurse'!D14</f>
        <v>210.84</v>
      </c>
      <c r="G23" s="706">
        <f>'8-Capital Equip-Schools'!F14</f>
        <v>1313.55</v>
      </c>
      <c r="H23" s="823">
        <f>'9-Lib-Media'!D14</f>
        <v>5462.7</v>
      </c>
      <c r="I23" s="706">
        <f>'10-Admin'!D14</f>
        <v>4105.05</v>
      </c>
      <c r="J23" s="706">
        <f>'11-School Improvment'!C13</f>
        <v>658</v>
      </c>
      <c r="K23" s="706">
        <v>0</v>
      </c>
      <c r="L23" s="706">
        <v>0</v>
      </c>
      <c r="M23" s="706">
        <v>0</v>
      </c>
      <c r="N23" s="706">
        <f>'13-Custodial'!E14+'13-Custodial'!G14</f>
        <v>2343.54</v>
      </c>
      <c r="O23" s="706">
        <f>'13-Custodial'!C14</f>
        <v>2349.75</v>
      </c>
      <c r="P23" s="706">
        <f>'14-Special Prog'!S13</f>
        <v>2200</v>
      </c>
      <c r="Q23" s="706">
        <v>0</v>
      </c>
      <c r="R23" s="706">
        <f>'15-Prof''l Dev-Certified'!C16</f>
        <v>6451.752277597463</v>
      </c>
      <c r="S23" s="706">
        <f>'16-Prof''l Dev-ESP'!C17</f>
        <v>2705.6576881530414</v>
      </c>
      <c r="T23" s="710">
        <f t="shared" si="0"/>
        <v>92487.119965750491</v>
      </c>
    </row>
    <row r="24" spans="1:20" x14ac:dyDescent="0.2">
      <c r="A24" s="705" t="s">
        <v>38</v>
      </c>
      <c r="B24" s="704" t="s">
        <v>987</v>
      </c>
      <c r="C24" s="705">
        <f>'5-Enrollment Projection'!$E$18</f>
        <v>440</v>
      </c>
      <c r="D24" s="706">
        <f>'6-Schools'!C19</f>
        <v>67760</v>
      </c>
      <c r="E24" s="706">
        <f>'7-Nurse'!C18</f>
        <v>488.05999999999995</v>
      </c>
      <c r="F24" s="706">
        <f>'7-Nurse'!D18</f>
        <v>210.84</v>
      </c>
      <c r="G24" s="706">
        <f>'8-Capital Equip-Schools'!F18</f>
        <v>1386</v>
      </c>
      <c r="H24" s="823">
        <f>'9-Lib-Media'!D18</f>
        <v>5764</v>
      </c>
      <c r="I24" s="706">
        <f>'10-Admin'!D18</f>
        <v>4246.5</v>
      </c>
      <c r="J24" s="706">
        <f>'11-School Improvment'!C17</f>
        <v>658</v>
      </c>
      <c r="K24" s="706">
        <v>0</v>
      </c>
      <c r="L24" s="706">
        <v>0</v>
      </c>
      <c r="M24" s="706">
        <v>0</v>
      </c>
      <c r="N24" s="706">
        <f>'13-Custodial'!E18+'13-Custodial'!G18</f>
        <v>2472.8000000000002</v>
      </c>
      <c r="O24" s="706">
        <f>'13-Custodial'!C18</f>
        <v>2349.75</v>
      </c>
      <c r="P24" s="706">
        <f>'14-Special Prog'!S17</f>
        <v>3100</v>
      </c>
      <c r="Q24" s="706">
        <v>0</v>
      </c>
      <c r="R24" s="706">
        <f>'15-Prof''l Dev-Certified'!C20</f>
        <v>7082.5101818318517</v>
      </c>
      <c r="S24" s="706">
        <f>'16-Prof''l Dev-ESP'!C21</f>
        <v>4851.5241304813153</v>
      </c>
      <c r="T24" s="710">
        <f t="shared" si="0"/>
        <v>100369.98431231316</v>
      </c>
    </row>
    <row r="25" spans="1:20" x14ac:dyDescent="0.2">
      <c r="A25" s="705" t="s">
        <v>41</v>
      </c>
      <c r="B25" s="704" t="s">
        <v>988</v>
      </c>
      <c r="C25" s="705">
        <f>'5-Enrollment Projection'!$E$22</f>
        <v>410</v>
      </c>
      <c r="D25" s="706">
        <f>'6-Schools'!C23</f>
        <v>63140</v>
      </c>
      <c r="E25" s="706">
        <f>'7-Nurse'!C22</f>
        <v>462.26</v>
      </c>
      <c r="F25" s="706">
        <f>'7-Nurse'!D22</f>
        <v>210.84</v>
      </c>
      <c r="G25" s="706">
        <f>'8-Capital Equip-Schools'!F22</f>
        <v>1291.5</v>
      </c>
      <c r="H25" s="823">
        <f>'9-Lib-Media'!D22</f>
        <v>5371</v>
      </c>
      <c r="I25" s="706">
        <f>'10-Admin'!D22</f>
        <v>4062</v>
      </c>
      <c r="J25" s="706">
        <f>'11-School Improvment'!C21</f>
        <v>658</v>
      </c>
      <c r="K25" s="706">
        <v>0</v>
      </c>
      <c r="L25" s="706">
        <v>0</v>
      </c>
      <c r="M25" s="706">
        <v>0</v>
      </c>
      <c r="N25" s="706">
        <f>'13-Custodial'!E22+'13-Custodial'!G22</f>
        <v>2304.1999999999998</v>
      </c>
      <c r="O25" s="706">
        <f>'13-Custodial'!C22</f>
        <v>2274.25</v>
      </c>
      <c r="P25" s="706">
        <f>'14-Special Prog'!S21</f>
        <v>2500</v>
      </c>
      <c r="Q25" s="706">
        <v>0</v>
      </c>
      <c r="R25" s="706">
        <f>'15-Prof''l Dev-Certified'!C24</f>
        <v>6271.5357335304943</v>
      </c>
      <c r="S25" s="706">
        <f>'16-Prof''l Dev-ESP'!C25</f>
        <v>2283.4219835031631</v>
      </c>
      <c r="T25" s="710">
        <f t="shared" si="0"/>
        <v>90829.007717033659</v>
      </c>
    </row>
    <row r="26" spans="1:20" s="695" customFormat="1" ht="15" x14ac:dyDescent="0.25">
      <c r="A26" s="712" t="s">
        <v>989</v>
      </c>
      <c r="B26" s="713"/>
      <c r="C26" s="712">
        <f>SUM(C12:C25)</f>
        <v>4855</v>
      </c>
      <c r="D26" s="714">
        <f>SUM(D12:D25)</f>
        <v>748715</v>
      </c>
      <c r="E26" s="714">
        <f t="shared" ref="E26:S26" si="1">SUM(E12:E25)</f>
        <v>5710.5400000000009</v>
      </c>
      <c r="F26" s="714">
        <f t="shared" si="1"/>
        <v>2413.89</v>
      </c>
      <c r="G26" s="714">
        <f t="shared" si="1"/>
        <v>15563.25</v>
      </c>
      <c r="H26" s="714">
        <f t="shared" si="1"/>
        <v>64872.099999999991</v>
      </c>
      <c r="I26" s="714">
        <f t="shared" si="1"/>
        <v>51677.4</v>
      </c>
      <c r="J26" s="714">
        <f t="shared" si="1"/>
        <v>9015</v>
      </c>
      <c r="K26" s="714">
        <f t="shared" si="1"/>
        <v>0</v>
      </c>
      <c r="L26" s="714">
        <f t="shared" si="1"/>
        <v>0</v>
      </c>
      <c r="M26" s="714">
        <f t="shared" si="1"/>
        <v>0</v>
      </c>
      <c r="N26" s="714">
        <f t="shared" si="1"/>
        <v>27285.1</v>
      </c>
      <c r="O26" s="714">
        <f t="shared" si="1"/>
        <v>30323.129999999997</v>
      </c>
      <c r="P26" s="714">
        <f t="shared" si="1"/>
        <v>28900</v>
      </c>
      <c r="Q26" s="714">
        <f>SUM(Q12:Q25)</f>
        <v>1750</v>
      </c>
      <c r="R26" s="714">
        <f t="shared" si="1"/>
        <v>83687.156568378035</v>
      </c>
      <c r="S26" s="714">
        <f t="shared" si="1"/>
        <v>36622.069601318151</v>
      </c>
      <c r="T26" s="714">
        <f t="shared" ref="T26" si="2">SUM(T12,T13,T14,T15,T16,T17,T18,T19,T20,T21,T22,T23,T24,T25)</f>
        <v>1106534.6361696962</v>
      </c>
    </row>
    <row r="27" spans="1:20" x14ac:dyDescent="0.2">
      <c r="A27" s="705"/>
      <c r="B27" s="704"/>
      <c r="C27" s="705"/>
      <c r="D27" s="706"/>
      <c r="E27" s="706"/>
      <c r="F27" s="706"/>
      <c r="G27" s="706"/>
      <c r="H27" s="706"/>
      <c r="I27" s="706"/>
      <c r="J27" s="706"/>
      <c r="K27" s="706"/>
      <c r="L27" s="706"/>
      <c r="M27" s="706"/>
      <c r="N27" s="706"/>
      <c r="O27" s="706"/>
      <c r="P27" s="706"/>
      <c r="Q27" s="706"/>
      <c r="R27" s="706"/>
      <c r="S27" s="705"/>
      <c r="T27" s="725"/>
    </row>
    <row r="28" spans="1:20" s="694" customFormat="1" ht="15" x14ac:dyDescent="0.25">
      <c r="A28" s="707" t="s">
        <v>1007</v>
      </c>
      <c r="B28" s="707"/>
      <c r="C28" s="707"/>
      <c r="D28" s="708">
        <v>204</v>
      </c>
      <c r="E28" s="708" t="s">
        <v>990</v>
      </c>
      <c r="F28" s="708">
        <v>438.62</v>
      </c>
      <c r="G28" s="708">
        <v>6.75</v>
      </c>
      <c r="H28" s="708" t="s">
        <v>991</v>
      </c>
      <c r="I28" s="708" t="s">
        <v>992</v>
      </c>
      <c r="J28" s="708" t="s">
        <v>983</v>
      </c>
      <c r="K28" s="708" t="s">
        <v>1317</v>
      </c>
      <c r="L28" s="708" t="s">
        <v>986</v>
      </c>
      <c r="M28" s="708">
        <v>45770</v>
      </c>
      <c r="N28" s="708">
        <v>7.17</v>
      </c>
      <c r="O28" s="708" t="s">
        <v>985</v>
      </c>
      <c r="P28" s="708" t="s">
        <v>986</v>
      </c>
      <c r="Q28" s="708">
        <v>500</v>
      </c>
      <c r="R28" s="708" t="s">
        <v>1318</v>
      </c>
      <c r="S28" s="707" t="s">
        <v>1319</v>
      </c>
      <c r="T28" s="724"/>
    </row>
    <row r="29" spans="1:20" x14ac:dyDescent="0.2">
      <c r="A29" s="705" t="s">
        <v>47</v>
      </c>
      <c r="B29" s="704" t="s">
        <v>988</v>
      </c>
      <c r="C29" s="705">
        <f>'5-Enrollment Projection'!E31</f>
        <v>647</v>
      </c>
      <c r="D29" s="706">
        <f>'6-Schools'!C32</f>
        <v>131988</v>
      </c>
      <c r="E29" s="706">
        <f>'7-Nurse'!C30</f>
        <v>774.18999999999994</v>
      </c>
      <c r="F29" s="706">
        <f>'7-Nurse'!D30</f>
        <v>438.62</v>
      </c>
      <c r="G29" s="706">
        <f>'8-Capital Equip-Schools'!F30</f>
        <v>4367.25</v>
      </c>
      <c r="H29" s="706">
        <f>'9-Lib-Media'!D30</f>
        <v>9866.75</v>
      </c>
      <c r="I29" s="706">
        <f>'10-Admin'!D30</f>
        <v>7894.3099999999995</v>
      </c>
      <c r="J29" s="706">
        <f>'11-School Improvment'!C29</f>
        <v>658</v>
      </c>
      <c r="K29" s="706">
        <f>'12-Misc School Allocations'!F48</f>
        <v>16473</v>
      </c>
      <c r="L29" s="706">
        <f>'12-Misc School Allocations'!D12</f>
        <v>1425</v>
      </c>
      <c r="M29" s="706">
        <v>45770</v>
      </c>
      <c r="N29" s="706">
        <f>'13-Custodial'!E30+'13-Custodial'!G30</f>
        <v>4638.99</v>
      </c>
      <c r="O29" s="706">
        <f>'13-Custodial'!C30</f>
        <v>6607.19</v>
      </c>
      <c r="P29" s="706">
        <f>'14-Special Prog'!S29</f>
        <v>3900</v>
      </c>
      <c r="Q29" s="706">
        <v>0</v>
      </c>
      <c r="R29" s="706">
        <f>'15-Prof''l Dev-Certified'!C32</f>
        <v>9623.5634531761043</v>
      </c>
      <c r="S29" s="706">
        <f>'16-Prof''l Dev-ESP'!C33</f>
        <v>3790.5522607236903</v>
      </c>
      <c r="T29" s="710">
        <f t="shared" ref="T29:T30" si="3">SUM(D29:S29)</f>
        <v>248215.4157138998</v>
      </c>
    </row>
    <row r="30" spans="1:20" x14ac:dyDescent="0.2">
      <c r="A30" s="705" t="s">
        <v>48</v>
      </c>
      <c r="B30" s="704" t="s">
        <v>988</v>
      </c>
      <c r="C30" s="705">
        <f>'5-Enrollment Projection'!E32</f>
        <v>663</v>
      </c>
      <c r="D30" s="706">
        <f>'6-Schools'!C33</f>
        <v>135252</v>
      </c>
      <c r="E30" s="706">
        <f>'7-Nurse'!C31</f>
        <v>787.94999999999993</v>
      </c>
      <c r="F30" s="706">
        <f>'7-Nurse'!D31</f>
        <v>438.62</v>
      </c>
      <c r="G30" s="706">
        <f>'8-Capital Equip-Schools'!F31</f>
        <v>4475.25</v>
      </c>
      <c r="H30" s="706">
        <f>'9-Lib-Media'!D31</f>
        <v>10110.75</v>
      </c>
      <c r="I30" s="706">
        <f>'10-Admin'!D31</f>
        <v>8041.99</v>
      </c>
      <c r="J30" s="706">
        <f>'11-School Improvment'!C30</f>
        <v>658</v>
      </c>
      <c r="K30" s="706">
        <f>'12-Misc School Allocations'!F49</f>
        <v>16880</v>
      </c>
      <c r="L30" s="706">
        <f>'12-Misc School Allocations'!D15</f>
        <v>1425</v>
      </c>
      <c r="M30" s="706">
        <v>45770</v>
      </c>
      <c r="N30" s="706">
        <f>'13-Custodial'!E31+'13-Custodial'!G31</f>
        <v>4753.71</v>
      </c>
      <c r="O30" s="706">
        <f>'13-Custodial'!C31</f>
        <v>6546.2</v>
      </c>
      <c r="P30" s="706">
        <f>'14-Special Prog'!S30</f>
        <v>3800</v>
      </c>
      <c r="Q30" s="706">
        <v>500</v>
      </c>
      <c r="R30" s="706">
        <f>'15-Prof''l Dev-Certified'!C33</f>
        <v>9951.5575633779863</v>
      </c>
      <c r="S30" s="706">
        <f>'16-Prof''l Dev-ESP'!C34</f>
        <v>3977.1493426652792</v>
      </c>
      <c r="T30" s="710">
        <f t="shared" si="3"/>
        <v>253368.17690604326</v>
      </c>
    </row>
    <row r="31" spans="1:20" s="695" customFormat="1" ht="15" x14ac:dyDescent="0.25">
      <c r="A31" s="712" t="s">
        <v>49</v>
      </c>
      <c r="B31" s="713"/>
      <c r="C31" s="712">
        <f>SUM(C29:C30)</f>
        <v>1310</v>
      </c>
      <c r="D31" s="714">
        <f>SUM(D29:D30)</f>
        <v>267240</v>
      </c>
      <c r="E31" s="714">
        <f t="shared" ref="E31:P31" si="4">SUM(E29:E30)</f>
        <v>1562.1399999999999</v>
      </c>
      <c r="F31" s="714">
        <f t="shared" si="4"/>
        <v>877.24</v>
      </c>
      <c r="G31" s="714">
        <f t="shared" si="4"/>
        <v>8842.5</v>
      </c>
      <c r="H31" s="714">
        <f t="shared" si="4"/>
        <v>19977.5</v>
      </c>
      <c r="I31" s="714">
        <f t="shared" si="4"/>
        <v>15936.3</v>
      </c>
      <c r="J31" s="714">
        <f t="shared" si="4"/>
        <v>1316</v>
      </c>
      <c r="K31" s="714">
        <f t="shared" si="4"/>
        <v>33353</v>
      </c>
      <c r="L31" s="714">
        <f t="shared" si="4"/>
        <v>2850</v>
      </c>
      <c r="M31" s="714">
        <f t="shared" si="4"/>
        <v>91540</v>
      </c>
      <c r="N31" s="714">
        <f>SUM(N29:N30)</f>
        <v>9392.7000000000007</v>
      </c>
      <c r="O31" s="714">
        <f t="shared" si="4"/>
        <v>13153.39</v>
      </c>
      <c r="P31" s="714">
        <f t="shared" si="4"/>
        <v>7700</v>
      </c>
      <c r="Q31" s="714">
        <f>SUM(Q29:Q30)</f>
        <v>500</v>
      </c>
      <c r="R31" s="714">
        <f>SUM(R29:R30)</f>
        <v>19575.121016554091</v>
      </c>
      <c r="S31" s="714">
        <f>SUM(S29:S30)</f>
        <v>7767.7016033889695</v>
      </c>
      <c r="T31" s="714">
        <f>SUM(T29:T30)</f>
        <v>501583.59261994308</v>
      </c>
    </row>
    <row r="32" spans="1:20" x14ac:dyDescent="0.2">
      <c r="A32" s="705"/>
      <c r="B32" s="704"/>
      <c r="C32" s="705"/>
      <c r="D32" s="706"/>
      <c r="E32" s="706"/>
      <c r="F32" s="706"/>
      <c r="G32" s="706"/>
      <c r="H32" s="706"/>
      <c r="I32" s="706"/>
      <c r="J32" s="706"/>
      <c r="K32" s="706"/>
      <c r="L32" s="706"/>
      <c r="M32" s="706"/>
      <c r="N32" s="706"/>
      <c r="O32" s="706"/>
      <c r="P32" s="706"/>
      <c r="Q32" s="706"/>
      <c r="R32" s="706"/>
      <c r="S32" s="705"/>
      <c r="T32" s="726"/>
    </row>
    <row r="33" spans="1:20" s="694" customFormat="1" ht="15" x14ac:dyDescent="0.25">
      <c r="A33" s="707" t="s">
        <v>1008</v>
      </c>
      <c r="B33" s="707"/>
      <c r="C33" s="707"/>
      <c r="D33" s="708">
        <v>237</v>
      </c>
      <c r="E33" s="708" t="s">
        <v>993</v>
      </c>
      <c r="F33" s="708">
        <v>438.62</v>
      </c>
      <c r="G33" s="708">
        <v>6.75</v>
      </c>
      <c r="H33" s="708" t="s">
        <v>991</v>
      </c>
      <c r="I33" s="708" t="s">
        <v>992</v>
      </c>
      <c r="J33" s="708" t="s">
        <v>983</v>
      </c>
      <c r="K33" s="708" t="s">
        <v>1317</v>
      </c>
      <c r="L33" s="708" t="s">
        <v>986</v>
      </c>
      <c r="M33" s="708">
        <v>213750</v>
      </c>
      <c r="N33" s="708">
        <v>10.039999999999999</v>
      </c>
      <c r="O33" s="708" t="s">
        <v>985</v>
      </c>
      <c r="P33" s="708" t="s">
        <v>986</v>
      </c>
      <c r="Q33" s="708">
        <v>500</v>
      </c>
      <c r="R33" s="708" t="s">
        <v>1318</v>
      </c>
      <c r="S33" s="707" t="s">
        <v>1319</v>
      </c>
      <c r="T33" s="724"/>
    </row>
    <row r="34" spans="1:20" x14ac:dyDescent="0.2">
      <c r="A34" s="705" t="s">
        <v>1139</v>
      </c>
      <c r="B34" s="704" t="s">
        <v>988</v>
      </c>
      <c r="C34" s="705">
        <f>'5-Enrollment Projection'!E37</f>
        <v>1057</v>
      </c>
      <c r="D34" s="706">
        <f>'6-Schools'!C37</f>
        <v>250509</v>
      </c>
      <c r="E34" s="706">
        <f>'7-Nurse'!C35</f>
        <v>1122.17</v>
      </c>
      <c r="F34" s="706">
        <f>'7-Nurse'!D35</f>
        <v>438.62</v>
      </c>
      <c r="G34" s="706">
        <f>'8-Capital Equip-Schools'!F35</f>
        <v>7134.75</v>
      </c>
      <c r="H34" s="706">
        <f>'9-Lib-Media'!D35</f>
        <v>16119.25</v>
      </c>
      <c r="I34" s="706">
        <f>'10-Admin'!D35</f>
        <v>11678.61</v>
      </c>
      <c r="J34" s="706">
        <f>'11-School Improvment'!C34</f>
        <v>658</v>
      </c>
      <c r="K34" s="706">
        <f>'12-Misc School Allocations'!F50</f>
        <v>26911</v>
      </c>
      <c r="L34" s="706">
        <f>SUM('12-Misc School Allocations'!D24:D28)</f>
        <v>10895</v>
      </c>
      <c r="M34" s="706">
        <v>213750</v>
      </c>
      <c r="N34" s="706">
        <f>'13-Custodial'!E35+'13-Custodial'!G35</f>
        <v>10612.28</v>
      </c>
      <c r="O34" s="706">
        <f>'13-Custodial'!C35</f>
        <v>11299.57</v>
      </c>
      <c r="P34" s="706">
        <f>'14-Special Prog'!S34</f>
        <v>6500</v>
      </c>
      <c r="Q34" s="706">
        <v>500</v>
      </c>
      <c r="R34" s="706">
        <f>'15-Prof''l Dev-Certified'!C37</f>
        <v>15260.736951590872</v>
      </c>
      <c r="S34" s="706">
        <f>'16-Prof''l Dev-ESP'!C38</f>
        <v>6256.9829207464891</v>
      </c>
      <c r="T34" s="710">
        <f t="shared" ref="T34:T35" si="5">SUM(D34:S34)</f>
        <v>589645.9698723373</v>
      </c>
    </row>
    <row r="35" spans="1:20" x14ac:dyDescent="0.2">
      <c r="A35" s="705" t="s">
        <v>1140</v>
      </c>
      <c r="B35" s="704" t="s">
        <v>988</v>
      </c>
      <c r="C35" s="705">
        <f>'5-Enrollment Projection'!E38</f>
        <v>1135</v>
      </c>
      <c r="D35" s="706">
        <f>'6-Schools'!C38</f>
        <v>268995</v>
      </c>
      <c r="E35" s="706">
        <f>'7-Nurse'!C36</f>
        <v>1189.25</v>
      </c>
      <c r="F35" s="706">
        <f>'7-Nurse'!D36</f>
        <v>438.62</v>
      </c>
      <c r="G35" s="706">
        <f>'8-Capital Equip-Schools'!F36</f>
        <v>7661.25</v>
      </c>
      <c r="H35" s="706">
        <f>'9-Lib-Media'!D36</f>
        <v>17308.75</v>
      </c>
      <c r="I35" s="706">
        <f>'10-Admin'!D36</f>
        <v>12398.55</v>
      </c>
      <c r="J35" s="706">
        <f>'11-School Improvment'!C35</f>
        <v>658</v>
      </c>
      <c r="K35" s="706">
        <f>'12-Misc School Allocations'!F51</f>
        <v>28897</v>
      </c>
      <c r="L35" s="706">
        <f>SUM('12-Misc School Allocations'!D37:D41)</f>
        <v>10895</v>
      </c>
      <c r="M35" s="706">
        <v>213750</v>
      </c>
      <c r="N35" s="706">
        <f>'13-Custodial'!C36+'13-Custodial'!F36</f>
        <v>10329.26</v>
      </c>
      <c r="O35" s="706">
        <f>'13-Custodial'!C36</f>
        <v>10327.86</v>
      </c>
      <c r="P35" s="706">
        <f>'14-Special Prog'!S35</f>
        <v>4400</v>
      </c>
      <c r="Q35" s="706">
        <v>0</v>
      </c>
      <c r="R35" s="706">
        <f>'15-Prof''l Dev-Certified'!C38</f>
        <v>14759.734959084701</v>
      </c>
      <c r="S35" s="706">
        <f>'16-Prof''l Dev-ESP'!C39</f>
        <v>5667.2882964054415</v>
      </c>
      <c r="T35" s="710">
        <f t="shared" si="5"/>
        <v>607675.56325549004</v>
      </c>
    </row>
    <row r="36" spans="1:20" x14ac:dyDescent="0.2">
      <c r="A36" s="705"/>
      <c r="B36" s="704"/>
      <c r="C36" s="705"/>
      <c r="D36" s="706"/>
      <c r="E36" s="706"/>
      <c r="F36" s="706"/>
      <c r="G36" s="706"/>
      <c r="H36" s="706"/>
      <c r="I36" s="706"/>
      <c r="J36" s="706"/>
      <c r="K36" s="706"/>
      <c r="L36" s="706"/>
      <c r="M36" s="706"/>
      <c r="N36" s="706"/>
      <c r="O36" s="706"/>
      <c r="P36" s="706"/>
      <c r="Q36" s="706"/>
      <c r="R36" s="706"/>
      <c r="S36" s="705"/>
      <c r="T36" s="725"/>
    </row>
    <row r="37" spans="1:20" s="694" customFormat="1" ht="15" x14ac:dyDescent="0.25">
      <c r="A37" s="707" t="s">
        <v>1010</v>
      </c>
      <c r="B37" s="707"/>
      <c r="C37" s="707"/>
      <c r="D37" s="708">
        <v>256</v>
      </c>
      <c r="E37" s="708" t="s">
        <v>994</v>
      </c>
      <c r="F37" s="708">
        <v>92.34</v>
      </c>
      <c r="G37" s="708">
        <v>6.75</v>
      </c>
      <c r="H37" s="708" t="s">
        <v>1021</v>
      </c>
      <c r="I37" s="708" t="s">
        <v>992</v>
      </c>
      <c r="J37" s="708" t="s">
        <v>983</v>
      </c>
      <c r="K37" s="708" t="s">
        <v>984</v>
      </c>
      <c r="L37" s="708" t="s">
        <v>986</v>
      </c>
      <c r="M37" s="708" t="s">
        <v>984</v>
      </c>
      <c r="N37" s="708">
        <v>7.17</v>
      </c>
      <c r="O37" s="708" t="s">
        <v>985</v>
      </c>
      <c r="P37" s="708" t="s">
        <v>986</v>
      </c>
      <c r="Q37" s="708">
        <v>500</v>
      </c>
      <c r="R37" s="708" t="s">
        <v>1318</v>
      </c>
      <c r="S37" s="707" t="s">
        <v>1319</v>
      </c>
      <c r="T37" s="724"/>
    </row>
    <row r="38" spans="1:20" x14ac:dyDescent="0.2">
      <c r="A38" s="705" t="s">
        <v>50</v>
      </c>
      <c r="B38" s="704" t="s">
        <v>988</v>
      </c>
      <c r="C38" s="705">
        <f>'5-Enrollment Projection'!E36</f>
        <v>145</v>
      </c>
      <c r="D38" s="706">
        <f>'6-Schools'!C36</f>
        <v>37120</v>
      </c>
      <c r="E38" s="706">
        <f>'7-Nurse'!C34</f>
        <v>180.1</v>
      </c>
      <c r="F38" s="706">
        <f>'7-Nurse'!D34</f>
        <v>92.34</v>
      </c>
      <c r="G38" s="706">
        <f>'8-Capital Equip-Schools'!F34</f>
        <v>978.75</v>
      </c>
      <c r="H38" s="706">
        <f>'9-Lib-Media'!D34</f>
        <v>3103</v>
      </c>
      <c r="I38" s="706">
        <f>'10-Admin'!D34</f>
        <v>4230</v>
      </c>
      <c r="J38" s="706">
        <f>'11-School Improvment'!C33</f>
        <v>461</v>
      </c>
      <c r="K38" s="706">
        <f>'12-Misc School Allocations'!F53</f>
        <v>0</v>
      </c>
      <c r="L38" s="706">
        <f>SUM('12-Misc School Allocations'!D18:D22)</f>
        <v>11195</v>
      </c>
      <c r="M38" s="706">
        <v>0</v>
      </c>
      <c r="N38" s="706">
        <f>'13-Custodial'!E34+'13-Custodial'!G34</f>
        <v>1039.6500000000001</v>
      </c>
      <c r="O38" s="706">
        <f>'13-Custodial'!C34</f>
        <v>1026.8399999999999</v>
      </c>
      <c r="P38" s="706">
        <f>'14-Special Prog'!S33</f>
        <v>400</v>
      </c>
      <c r="Q38" s="706">
        <v>0</v>
      </c>
      <c r="R38" s="706">
        <f>'15-Prof''l Dev-Certified'!C36</f>
        <v>3961.1596385919624</v>
      </c>
      <c r="S38" s="706">
        <f>'16-Prof''l Dev-ESP'!C37</f>
        <v>855.23662556561646</v>
      </c>
      <c r="T38" s="710">
        <f t="shared" ref="T38" si="6">SUM(D38:S38)</f>
        <v>64643.076264157571</v>
      </c>
    </row>
    <row r="39" spans="1:20" x14ac:dyDescent="0.2">
      <c r="A39" s="705"/>
      <c r="B39" s="704"/>
      <c r="C39" s="705"/>
      <c r="D39" s="706"/>
      <c r="E39" s="706"/>
      <c r="F39" s="706"/>
      <c r="G39" s="706"/>
      <c r="H39" s="706"/>
      <c r="I39" s="706"/>
      <c r="J39" s="706"/>
      <c r="K39" s="706"/>
      <c r="L39" s="706"/>
      <c r="M39" s="706"/>
      <c r="N39" s="706"/>
      <c r="O39" s="706"/>
      <c r="P39" s="706"/>
      <c r="Q39" s="706"/>
      <c r="R39" s="706"/>
      <c r="S39" s="705"/>
      <c r="T39" s="725"/>
    </row>
    <row r="40" spans="1:20" s="694" customFormat="1" ht="15" x14ac:dyDescent="0.25">
      <c r="A40" s="707" t="s">
        <v>1009</v>
      </c>
      <c r="B40" s="707"/>
      <c r="C40" s="707"/>
      <c r="D40" s="708">
        <v>282</v>
      </c>
      <c r="E40" s="708" t="s">
        <v>995</v>
      </c>
      <c r="F40" s="708">
        <v>146.21</v>
      </c>
      <c r="G40" s="708">
        <v>6.75</v>
      </c>
      <c r="H40" s="708" t="s">
        <v>1021</v>
      </c>
      <c r="I40" s="708" t="s">
        <v>992</v>
      </c>
      <c r="J40" s="708" t="s">
        <v>983</v>
      </c>
      <c r="K40" s="708" t="s">
        <v>1317</v>
      </c>
      <c r="L40" s="708" t="s">
        <v>986</v>
      </c>
      <c r="M40" s="708">
        <v>72200</v>
      </c>
      <c r="N40" s="708">
        <v>10.039999999999999</v>
      </c>
      <c r="O40" s="708" t="s">
        <v>985</v>
      </c>
      <c r="P40" s="708" t="s">
        <v>986</v>
      </c>
      <c r="Q40" s="708">
        <v>500</v>
      </c>
      <c r="R40" s="708" t="s">
        <v>1318</v>
      </c>
      <c r="S40" s="707" t="s">
        <v>1319</v>
      </c>
      <c r="T40" s="724"/>
    </row>
    <row r="41" spans="1:20" x14ac:dyDescent="0.2">
      <c r="A41" s="705" t="s">
        <v>1013</v>
      </c>
      <c r="B41" s="704" t="s">
        <v>988</v>
      </c>
      <c r="C41" s="705">
        <f>'5-Enrollment Projection'!E39</f>
        <v>192</v>
      </c>
      <c r="D41" s="706">
        <f>'6-Schools'!C39</f>
        <v>54144</v>
      </c>
      <c r="E41" s="706">
        <f>'7-Nurse'!C37</f>
        <v>228.99</v>
      </c>
      <c r="F41" s="706">
        <f>'7-Nurse'!D37</f>
        <v>146.21</v>
      </c>
      <c r="G41" s="706">
        <f>'8-Capital Equip-Schools'!F37</f>
        <v>1296</v>
      </c>
      <c r="H41" s="706">
        <f>'9-Lib-Media'!D37</f>
        <v>4108.8</v>
      </c>
      <c r="I41" s="706">
        <f>'10-Admin'!D37</f>
        <v>4230</v>
      </c>
      <c r="J41" s="706">
        <f>'11-School Improvment'!C36</f>
        <v>461</v>
      </c>
      <c r="K41" s="706">
        <f>'12-Misc School Allocations'!F52</f>
        <v>4888</v>
      </c>
      <c r="L41" s="706">
        <f>SUM('12-Misc School Allocations'!D31:D34)</f>
        <v>6195</v>
      </c>
      <c r="M41" s="706">
        <v>72200</v>
      </c>
      <c r="N41" s="706">
        <f>'13-Custodial'!E37+'13-Custodial'!G37</f>
        <v>1927.68</v>
      </c>
      <c r="O41" s="706">
        <f>'13-Custodial'!C37</f>
        <v>3753.72</v>
      </c>
      <c r="P41" s="706">
        <f>'14-Special Prog'!S36</f>
        <v>800</v>
      </c>
      <c r="Q41" s="706">
        <v>250</v>
      </c>
      <c r="R41" s="706">
        <f>'15-Prof''l Dev-Certified'!C39</f>
        <v>4069.2895650321429</v>
      </c>
      <c r="S41" s="706">
        <f>'16-Prof''l Dev-ESP'!C40</f>
        <v>1708.0809808499305</v>
      </c>
      <c r="T41" s="710">
        <f t="shared" ref="T41" si="7">SUM(D41:S41)</f>
        <v>160406.77054588206</v>
      </c>
    </row>
    <row r="42" spans="1:20" x14ac:dyDescent="0.2">
      <c r="A42" s="705"/>
      <c r="B42" s="704"/>
      <c r="C42" s="705"/>
      <c r="D42" s="706"/>
      <c r="E42" s="706"/>
      <c r="F42" s="706"/>
      <c r="G42" s="706"/>
      <c r="H42" s="706"/>
      <c r="I42" s="706"/>
      <c r="J42" s="706"/>
      <c r="K42" s="706"/>
      <c r="L42" s="706"/>
      <c r="M42" s="706"/>
      <c r="N42" s="706"/>
      <c r="O42" s="706"/>
      <c r="P42" s="706"/>
      <c r="Q42" s="706"/>
      <c r="R42" s="706"/>
      <c r="S42" s="706"/>
      <c r="T42" s="710"/>
    </row>
    <row r="43" spans="1:20" s="695" customFormat="1" ht="15" x14ac:dyDescent="0.25">
      <c r="A43" s="712" t="s">
        <v>1026</v>
      </c>
      <c r="B43" s="713"/>
      <c r="C43" s="712">
        <f>SUM(C34,C35,C38,C41)</f>
        <v>2529</v>
      </c>
      <c r="D43" s="714">
        <f>SUM(D34,D35,D38,D41)</f>
        <v>610768</v>
      </c>
      <c r="E43" s="714">
        <f t="shared" ref="E43:T43" si="8">SUM(E34,E35,E38,E41)</f>
        <v>2720.51</v>
      </c>
      <c r="F43" s="714">
        <f t="shared" si="8"/>
        <v>1115.79</v>
      </c>
      <c r="G43" s="714">
        <f t="shared" si="8"/>
        <v>17070.75</v>
      </c>
      <c r="H43" s="714">
        <f t="shared" si="8"/>
        <v>40639.800000000003</v>
      </c>
      <c r="I43" s="714">
        <f t="shared" si="8"/>
        <v>32537.16</v>
      </c>
      <c r="J43" s="714">
        <f>SUM(J34,J35,J38,J41)</f>
        <v>2238</v>
      </c>
      <c r="K43" s="714">
        <f>SUM(K34,K35,K38,K41)</f>
        <v>60696</v>
      </c>
      <c r="L43" s="714">
        <f t="shared" si="8"/>
        <v>39180</v>
      </c>
      <c r="M43" s="714">
        <f t="shared" si="8"/>
        <v>499700</v>
      </c>
      <c r="N43" s="714">
        <f t="shared" si="8"/>
        <v>23908.870000000003</v>
      </c>
      <c r="O43" s="714">
        <f t="shared" si="8"/>
        <v>26407.99</v>
      </c>
      <c r="P43" s="714">
        <f t="shared" si="8"/>
        <v>12100</v>
      </c>
      <c r="Q43" s="714">
        <f t="shared" si="8"/>
        <v>750</v>
      </c>
      <c r="R43" s="714">
        <f t="shared" si="8"/>
        <v>38050.921114299679</v>
      </c>
      <c r="S43" s="714">
        <f t="shared" si="8"/>
        <v>14487.588823567477</v>
      </c>
      <c r="T43" s="714">
        <f t="shared" si="8"/>
        <v>1422371.3799378672</v>
      </c>
    </row>
    <row r="44" spans="1:20" x14ac:dyDescent="0.2">
      <c r="A44" s="90"/>
      <c r="B44" s="83"/>
      <c r="C44" s="90"/>
      <c r="D44" s="719"/>
      <c r="E44" s="719"/>
      <c r="F44" s="719"/>
      <c r="G44" s="719"/>
      <c r="H44" s="719"/>
      <c r="I44" s="719"/>
      <c r="J44" s="719"/>
      <c r="K44" s="719"/>
      <c r="L44" s="719"/>
      <c r="M44" s="719"/>
      <c r="N44" s="719"/>
      <c r="O44" s="719"/>
      <c r="P44" s="719"/>
      <c r="Q44" s="719"/>
      <c r="R44" s="719"/>
      <c r="S44" s="90"/>
      <c r="T44" s="725"/>
    </row>
    <row r="45" spans="1:20" ht="13.5" thickBot="1" x14ac:dyDescent="0.25">
      <c r="A45" s="267"/>
      <c r="B45" s="87"/>
      <c r="C45" s="267"/>
      <c r="D45" s="643"/>
      <c r="E45" s="643"/>
      <c r="F45" s="643"/>
      <c r="G45" s="643"/>
      <c r="H45" s="643"/>
      <c r="I45" s="643"/>
      <c r="J45" s="643"/>
      <c r="K45" s="643"/>
      <c r="L45" s="643"/>
      <c r="M45" s="643"/>
      <c r="N45" s="643"/>
      <c r="O45" s="643"/>
      <c r="P45" s="643"/>
      <c r="Q45" s="643"/>
      <c r="R45" s="643"/>
      <c r="S45" s="267"/>
      <c r="T45" s="726"/>
    </row>
    <row r="46" spans="1:20" s="695" customFormat="1" ht="16.5" thickTop="1" x14ac:dyDescent="0.25">
      <c r="A46" s="715" t="s">
        <v>54</v>
      </c>
      <c r="B46" s="698"/>
      <c r="C46" s="715">
        <f>SUM(C26,C31,C43)</f>
        <v>8694</v>
      </c>
      <c r="D46" s="711">
        <f>SUM(D26,D31,D43)</f>
        <v>1626723</v>
      </c>
      <c r="E46" s="711">
        <f t="shared" ref="E46:S46" si="9">SUM(E26,E31,E43)</f>
        <v>9993.19</v>
      </c>
      <c r="F46" s="711">
        <f t="shared" si="9"/>
        <v>4406.92</v>
      </c>
      <c r="G46" s="711">
        <f t="shared" si="9"/>
        <v>41476.5</v>
      </c>
      <c r="H46" s="711">
        <f t="shared" si="9"/>
        <v>125489.4</v>
      </c>
      <c r="I46" s="711">
        <f t="shared" si="9"/>
        <v>100150.86</v>
      </c>
      <c r="J46" s="711">
        <f t="shared" si="9"/>
        <v>12569</v>
      </c>
      <c r="K46" s="711">
        <f t="shared" si="9"/>
        <v>94049</v>
      </c>
      <c r="L46" s="711">
        <f>SUM(L26,L31,L43)</f>
        <v>42030</v>
      </c>
      <c r="M46" s="711">
        <f t="shared" si="9"/>
        <v>591240</v>
      </c>
      <c r="N46" s="711">
        <f t="shared" si="9"/>
        <v>60586.670000000006</v>
      </c>
      <c r="O46" s="711">
        <f t="shared" si="9"/>
        <v>69884.509999999995</v>
      </c>
      <c r="P46" s="711">
        <f>SUM(P26,P31,P43)</f>
        <v>48700</v>
      </c>
      <c r="Q46" s="711">
        <f t="shared" si="9"/>
        <v>3000</v>
      </c>
      <c r="R46" s="711">
        <f t="shared" si="9"/>
        <v>141313.19869923181</v>
      </c>
      <c r="S46" s="711">
        <f t="shared" si="9"/>
        <v>58877.360028274597</v>
      </c>
      <c r="T46" s="729">
        <f>SUM(D46:S46)</f>
        <v>3030489.6087275064</v>
      </c>
    </row>
  </sheetData>
  <sortState ref="A12:T25">
    <sortCondition ref="D12:D25"/>
  </sortState>
  <mergeCells count="2">
    <mergeCell ref="H1:K1"/>
    <mergeCell ref="H2:K2"/>
  </mergeCells>
  <pageMargins left="0.7" right="0.7" top="0.75" bottom="0.75" header="0.3" footer="0.3"/>
  <pageSetup orientation="portrait" r:id="rId1"/>
  <ignoredErrors>
    <ignoredError sqref="M31 Q31 F31 Q26"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57"/>
  <sheetViews>
    <sheetView topLeftCell="A28" zoomScale="130" zoomScaleNormal="130" workbookViewId="0">
      <selection activeCell="C7" sqref="C7"/>
    </sheetView>
  </sheetViews>
  <sheetFormatPr defaultRowHeight="12.75" x14ac:dyDescent="0.2"/>
  <cols>
    <col min="1" max="1" width="20.140625" customWidth="1"/>
    <col min="2" max="2" width="9.85546875" style="2" bestFit="1" customWidth="1"/>
    <col min="3" max="3" width="8.85546875" style="426" bestFit="1" customWidth="1"/>
    <col min="4" max="4" width="3.7109375" style="2" customWidth="1"/>
    <col min="5" max="5" width="8.85546875" style="428" bestFit="1" customWidth="1"/>
    <col min="6" max="6" width="12.140625" bestFit="1" customWidth="1"/>
  </cols>
  <sheetData>
    <row r="1" spans="1:8" ht="18" x14ac:dyDescent="0.25">
      <c r="A1" s="878" t="s">
        <v>1233</v>
      </c>
      <c r="B1" s="878"/>
      <c r="C1" s="878"/>
      <c r="D1" s="878"/>
      <c r="E1" s="878"/>
      <c r="F1" s="878"/>
    </row>
    <row r="2" spans="1:8" ht="15.75" x14ac:dyDescent="0.25">
      <c r="A2" s="525"/>
      <c r="B2" s="165"/>
      <c r="C2" s="429"/>
      <c r="D2" s="165"/>
      <c r="E2" s="524"/>
      <c r="F2" s="165"/>
    </row>
    <row r="3" spans="1:8" ht="25.5" customHeight="1" x14ac:dyDescent="0.2">
      <c r="A3" s="879" t="s">
        <v>316</v>
      </c>
      <c r="B3" s="879"/>
      <c r="C3" s="879"/>
      <c r="D3" s="879"/>
      <c r="E3" s="879"/>
      <c r="F3" s="879"/>
    </row>
    <row r="5" spans="1:8" x14ac:dyDescent="0.2">
      <c r="A5" s="46"/>
      <c r="B5" s="46" t="s">
        <v>58</v>
      </c>
      <c r="C5" s="277" t="s">
        <v>59</v>
      </c>
      <c r="D5" s="46"/>
      <c r="E5" s="143" t="s">
        <v>1234</v>
      </c>
      <c r="F5" s="46" t="s">
        <v>244</v>
      </c>
      <c r="H5" s="338"/>
    </row>
    <row r="6" spans="1:8" x14ac:dyDescent="0.2">
      <c r="A6" s="2" t="s">
        <v>60</v>
      </c>
      <c r="B6" s="2" t="s">
        <v>61</v>
      </c>
      <c r="C6" s="426" t="s">
        <v>62</v>
      </c>
      <c r="E6" s="107" t="s">
        <v>298</v>
      </c>
      <c r="F6" s="2" t="s">
        <v>299</v>
      </c>
    </row>
    <row r="7" spans="1:8" x14ac:dyDescent="0.2">
      <c r="A7" s="51"/>
      <c r="B7" s="306">
        <v>43739</v>
      </c>
      <c r="C7" s="278" t="s">
        <v>1200</v>
      </c>
      <c r="D7" s="144"/>
      <c r="E7" s="523" t="s">
        <v>62</v>
      </c>
      <c r="F7" s="51" t="s">
        <v>82</v>
      </c>
    </row>
    <row r="8" spans="1:8" x14ac:dyDescent="0.2">
      <c r="A8" t="s">
        <v>30</v>
      </c>
      <c r="B8" s="371">
        <v>35</v>
      </c>
      <c r="C8" s="371">
        <v>39</v>
      </c>
      <c r="D8" s="4"/>
      <c r="E8" s="109">
        <v>36</v>
      </c>
      <c r="F8" s="111">
        <f>E8-C8</f>
        <v>-3</v>
      </c>
    </row>
    <row r="9" spans="1:8" x14ac:dyDescent="0.2">
      <c r="A9" t="s">
        <v>32</v>
      </c>
      <c r="B9" s="371">
        <v>25</v>
      </c>
      <c r="C9" s="371">
        <v>36</v>
      </c>
      <c r="D9" s="4"/>
      <c r="E9" s="109">
        <v>25</v>
      </c>
      <c r="F9" s="111">
        <f>E9-C9</f>
        <v>-11</v>
      </c>
    </row>
    <row r="10" spans="1:8" x14ac:dyDescent="0.2">
      <c r="A10" t="s">
        <v>33</v>
      </c>
      <c r="B10" s="371">
        <v>16</v>
      </c>
      <c r="C10" s="371">
        <v>10</v>
      </c>
      <c r="D10" s="4"/>
      <c r="E10" s="109">
        <v>16</v>
      </c>
      <c r="F10" s="111">
        <f>E10-C10</f>
        <v>6</v>
      </c>
    </row>
    <row r="11" spans="1:8" x14ac:dyDescent="0.2">
      <c r="A11" s="5" t="s">
        <v>34</v>
      </c>
      <c r="B11" s="372">
        <f>SUM(B8:B10)</f>
        <v>76</v>
      </c>
      <c r="C11" s="372">
        <f>SUM(C8:C10)</f>
        <v>85</v>
      </c>
      <c r="D11" s="272"/>
      <c r="E11" s="108">
        <f>SUM(E8:E10)</f>
        <v>77</v>
      </c>
      <c r="F11" s="112">
        <f>SUM(F8:F10)</f>
        <v>-8</v>
      </c>
    </row>
    <row r="12" spans="1:8" x14ac:dyDescent="0.2">
      <c r="B12" s="371"/>
      <c r="C12" s="371"/>
      <c r="D12" s="4"/>
      <c r="E12" s="109"/>
      <c r="F12" s="111"/>
    </row>
    <row r="13" spans="1:8" x14ac:dyDescent="0.2">
      <c r="B13" s="371"/>
      <c r="C13" s="371"/>
      <c r="D13" s="273"/>
      <c r="E13" s="109"/>
      <c r="F13" s="111"/>
    </row>
    <row r="14" spans="1:8" s="356" customFormat="1" x14ac:dyDescent="0.2">
      <c r="A14" s="356" t="s">
        <v>693</v>
      </c>
      <c r="B14" s="371">
        <v>421</v>
      </c>
      <c r="C14" s="371">
        <v>422</v>
      </c>
      <c r="D14" s="4"/>
      <c r="E14" s="109">
        <v>417</v>
      </c>
      <c r="F14" s="111">
        <f t="shared" ref="F14:F27" si="0">E14-C14</f>
        <v>-5</v>
      </c>
    </row>
    <row r="15" spans="1:8" x14ac:dyDescent="0.2">
      <c r="A15" t="s">
        <v>35</v>
      </c>
      <c r="B15" s="371">
        <v>369</v>
      </c>
      <c r="C15" s="371">
        <v>380</v>
      </c>
      <c r="D15" s="4"/>
      <c r="E15" s="109">
        <v>372</v>
      </c>
      <c r="F15" s="111">
        <f t="shared" si="0"/>
        <v>-8</v>
      </c>
    </row>
    <row r="16" spans="1:8" x14ac:dyDescent="0.2">
      <c r="A16" t="s">
        <v>36</v>
      </c>
      <c r="B16" s="371">
        <v>206</v>
      </c>
      <c r="C16" s="371">
        <v>219</v>
      </c>
      <c r="D16" s="4"/>
      <c r="E16" s="109">
        <v>209</v>
      </c>
      <c r="F16" s="111">
        <f t="shared" si="0"/>
        <v>-10</v>
      </c>
    </row>
    <row r="17" spans="1:6" x14ac:dyDescent="0.2">
      <c r="A17" t="s">
        <v>37</v>
      </c>
      <c r="B17" s="371">
        <v>400</v>
      </c>
      <c r="C17" s="371">
        <v>417</v>
      </c>
      <c r="D17" s="4"/>
      <c r="E17" s="109">
        <v>408</v>
      </c>
      <c r="F17" s="111">
        <f t="shared" si="0"/>
        <v>-9</v>
      </c>
    </row>
    <row r="18" spans="1:6" x14ac:dyDescent="0.2">
      <c r="A18" t="s">
        <v>38</v>
      </c>
      <c r="B18" s="371">
        <v>449</v>
      </c>
      <c r="C18" s="371">
        <v>428</v>
      </c>
      <c r="D18" s="4"/>
      <c r="E18" s="109">
        <v>440</v>
      </c>
      <c r="F18" s="111">
        <f t="shared" si="0"/>
        <v>12</v>
      </c>
    </row>
    <row r="19" spans="1:6" x14ac:dyDescent="0.2">
      <c r="A19" t="s">
        <v>39</v>
      </c>
      <c r="B19" s="371">
        <v>258</v>
      </c>
      <c r="C19" s="371">
        <v>263</v>
      </c>
      <c r="D19" s="4"/>
      <c r="E19" s="109">
        <v>259</v>
      </c>
      <c r="F19" s="111">
        <f t="shared" si="0"/>
        <v>-4</v>
      </c>
    </row>
    <row r="20" spans="1:6" x14ac:dyDescent="0.2">
      <c r="A20" t="s">
        <v>40</v>
      </c>
      <c r="B20" s="371">
        <v>330</v>
      </c>
      <c r="C20" s="371">
        <v>338</v>
      </c>
      <c r="D20" s="4"/>
      <c r="E20" s="109">
        <v>333</v>
      </c>
      <c r="F20" s="111">
        <f t="shared" si="0"/>
        <v>-5</v>
      </c>
    </row>
    <row r="21" spans="1:6" x14ac:dyDescent="0.2">
      <c r="A21" s="357" t="s">
        <v>667</v>
      </c>
      <c r="B21" s="371">
        <v>348</v>
      </c>
      <c r="C21" s="371">
        <v>359</v>
      </c>
      <c r="D21" s="4"/>
      <c r="E21" s="109">
        <v>350</v>
      </c>
      <c r="F21" s="111">
        <f t="shared" si="0"/>
        <v>-9</v>
      </c>
    </row>
    <row r="22" spans="1:6" x14ac:dyDescent="0.2">
      <c r="A22" t="s">
        <v>41</v>
      </c>
      <c r="B22" s="371">
        <v>405</v>
      </c>
      <c r="C22" s="371">
        <v>422</v>
      </c>
      <c r="D22" s="4"/>
      <c r="E22" s="109">
        <v>410</v>
      </c>
      <c r="F22" s="111">
        <f t="shared" si="0"/>
        <v>-12</v>
      </c>
    </row>
    <row r="23" spans="1:6" x14ac:dyDescent="0.2">
      <c r="A23" t="s">
        <v>42</v>
      </c>
      <c r="B23" s="371">
        <v>291</v>
      </c>
      <c r="C23" s="371">
        <v>271</v>
      </c>
      <c r="D23" s="4"/>
      <c r="E23" s="109">
        <v>309</v>
      </c>
      <c r="F23" s="111">
        <f t="shared" si="0"/>
        <v>38</v>
      </c>
    </row>
    <row r="24" spans="1:6" x14ac:dyDescent="0.2">
      <c r="A24" t="s">
        <v>43</v>
      </c>
      <c r="B24" s="270">
        <v>267</v>
      </c>
      <c r="C24" s="371">
        <v>297</v>
      </c>
      <c r="D24" s="4"/>
      <c r="E24" s="109">
        <v>280</v>
      </c>
      <c r="F24" s="111">
        <f t="shared" si="0"/>
        <v>-17</v>
      </c>
    </row>
    <row r="25" spans="1:6" s="395" customFormat="1" x14ac:dyDescent="0.2">
      <c r="A25" s="395" t="s">
        <v>818</v>
      </c>
      <c r="B25" s="270">
        <v>353</v>
      </c>
      <c r="C25" s="371">
        <v>340</v>
      </c>
      <c r="D25" s="4"/>
      <c r="E25" s="109">
        <v>406</v>
      </c>
      <c r="F25" s="111">
        <f t="shared" si="0"/>
        <v>66</v>
      </c>
    </row>
    <row r="26" spans="1:6" x14ac:dyDescent="0.2">
      <c r="A26" t="s">
        <v>44</v>
      </c>
      <c r="B26" s="270">
        <v>344</v>
      </c>
      <c r="C26" s="371">
        <v>353</v>
      </c>
      <c r="D26" s="4"/>
      <c r="E26" s="109">
        <v>348</v>
      </c>
      <c r="F26" s="111">
        <f t="shared" si="0"/>
        <v>-5</v>
      </c>
    </row>
    <row r="27" spans="1:6" x14ac:dyDescent="0.2">
      <c r="A27" t="s">
        <v>45</v>
      </c>
      <c r="B27" s="270">
        <v>319</v>
      </c>
      <c r="C27" s="371">
        <v>311</v>
      </c>
      <c r="D27" s="4"/>
      <c r="E27" s="109">
        <v>314</v>
      </c>
      <c r="F27" s="111">
        <f t="shared" si="0"/>
        <v>3</v>
      </c>
    </row>
    <row r="28" spans="1:6" x14ac:dyDescent="0.2">
      <c r="A28" s="5" t="s">
        <v>46</v>
      </c>
      <c r="B28" s="271">
        <f>SUM(B14:B27)</f>
        <v>4760</v>
      </c>
      <c r="C28" s="372">
        <f>SUM(C14:C27)</f>
        <v>4820</v>
      </c>
      <c r="D28" s="272"/>
      <c r="E28" s="108">
        <f>SUM(E14:E27)</f>
        <v>4855</v>
      </c>
      <c r="F28" s="112">
        <f>SUM(F14:F27)</f>
        <v>35</v>
      </c>
    </row>
    <row r="29" spans="1:6" x14ac:dyDescent="0.2">
      <c r="B29" s="270"/>
      <c r="C29" s="371"/>
      <c r="D29" s="4"/>
      <c r="E29" s="109"/>
      <c r="F29" s="111"/>
    </row>
    <row r="30" spans="1:6" x14ac:dyDescent="0.2">
      <c r="B30" s="270"/>
      <c r="C30" s="371"/>
      <c r="D30" s="274"/>
      <c r="E30" s="109"/>
      <c r="F30" s="111"/>
    </row>
    <row r="31" spans="1:6" x14ac:dyDescent="0.2">
      <c r="A31" t="s">
        <v>47</v>
      </c>
      <c r="B31" s="270">
        <v>657</v>
      </c>
      <c r="C31" s="371">
        <v>624</v>
      </c>
      <c r="D31" s="4"/>
      <c r="E31" s="109">
        <v>647</v>
      </c>
      <c r="F31" s="111">
        <f>E31-C31</f>
        <v>23</v>
      </c>
    </row>
    <row r="32" spans="1:6" x14ac:dyDescent="0.2">
      <c r="A32" t="s">
        <v>48</v>
      </c>
      <c r="B32" s="270">
        <v>665</v>
      </c>
      <c r="C32" s="371">
        <v>659</v>
      </c>
      <c r="D32" s="4"/>
      <c r="E32" s="109">
        <v>663</v>
      </c>
      <c r="F32" s="111">
        <f>E32-C32</f>
        <v>4</v>
      </c>
    </row>
    <row r="33" spans="1:6" x14ac:dyDescent="0.2">
      <c r="A33" s="5" t="s">
        <v>49</v>
      </c>
      <c r="B33" s="271">
        <f>SUM(B31:B32)</f>
        <v>1322</v>
      </c>
      <c r="C33" s="372">
        <f>SUM(C31:C32)</f>
        <v>1283</v>
      </c>
      <c r="D33" s="272"/>
      <c r="E33" s="108">
        <f>SUM(E31:E32)</f>
        <v>1310</v>
      </c>
      <c r="F33" s="112">
        <f>SUM(F31:F32)</f>
        <v>27</v>
      </c>
    </row>
    <row r="34" spans="1:6" x14ac:dyDescent="0.2">
      <c r="B34" s="270"/>
      <c r="C34" s="371"/>
      <c r="D34" s="4"/>
      <c r="E34" s="109"/>
      <c r="F34" s="111"/>
    </row>
    <row r="35" spans="1:6" x14ac:dyDescent="0.2">
      <c r="B35" s="270"/>
      <c r="C35" s="371"/>
      <c r="D35" s="274"/>
      <c r="E35" s="109"/>
      <c r="F35" s="111"/>
    </row>
    <row r="36" spans="1:6" x14ac:dyDescent="0.2">
      <c r="A36" t="s">
        <v>50</v>
      </c>
      <c r="B36" s="270">
        <v>155</v>
      </c>
      <c r="C36" s="371">
        <v>141</v>
      </c>
      <c r="D36" s="4"/>
      <c r="E36" s="109">
        <v>145</v>
      </c>
      <c r="F36" s="111">
        <f>E36-C36</f>
        <v>4</v>
      </c>
    </row>
    <row r="37" spans="1:6" x14ac:dyDescent="0.2">
      <c r="A37" t="s">
        <v>51</v>
      </c>
      <c r="B37" s="371">
        <v>1077</v>
      </c>
      <c r="C37" s="371">
        <v>1039</v>
      </c>
      <c r="D37" s="4"/>
      <c r="E37" s="109">
        <v>1057</v>
      </c>
      <c r="F37" s="111">
        <f>E37-C37</f>
        <v>18</v>
      </c>
    </row>
    <row r="38" spans="1:6" x14ac:dyDescent="0.2">
      <c r="A38" t="s">
        <v>871</v>
      </c>
      <c r="B38" s="270">
        <v>1154</v>
      </c>
      <c r="C38" s="371">
        <v>1095</v>
      </c>
      <c r="D38" s="4"/>
      <c r="E38" s="109">
        <v>1135</v>
      </c>
      <c r="F38" s="111">
        <f>E38-C38</f>
        <v>40</v>
      </c>
    </row>
    <row r="39" spans="1:6" x14ac:dyDescent="0.2">
      <c r="A39" t="s">
        <v>52</v>
      </c>
      <c r="B39" s="270">
        <v>193</v>
      </c>
      <c r="C39" s="371">
        <v>192</v>
      </c>
      <c r="D39" s="4"/>
      <c r="E39" s="109">
        <v>192</v>
      </c>
      <c r="F39" s="111">
        <f>E39-C39</f>
        <v>0</v>
      </c>
    </row>
    <row r="40" spans="1:6" x14ac:dyDescent="0.2">
      <c r="A40" s="5" t="s">
        <v>53</v>
      </c>
      <c r="B40" s="271">
        <f>SUM(B36:B39)</f>
        <v>2579</v>
      </c>
      <c r="C40" s="372">
        <f>SUM(C36:C39)</f>
        <v>2467</v>
      </c>
      <c r="D40" s="272"/>
      <c r="E40" s="108">
        <f>SUM(E36:E39)</f>
        <v>2529</v>
      </c>
      <c r="F40" s="112">
        <f>SUM(F36:F39)</f>
        <v>62</v>
      </c>
    </row>
    <row r="41" spans="1:6" x14ac:dyDescent="0.2">
      <c r="B41" s="270"/>
      <c r="C41" s="371"/>
      <c r="D41" s="4"/>
      <c r="E41" s="109"/>
      <c r="F41" s="113"/>
    </row>
    <row r="42" spans="1:6" x14ac:dyDescent="0.2">
      <c r="A42" s="7" t="s">
        <v>54</v>
      </c>
      <c r="B42" s="275">
        <f>SUM(B11+B28+B33+B40)</f>
        <v>8737</v>
      </c>
      <c r="C42" s="373">
        <f>SUM(C11+C28+C33+C40)</f>
        <v>8655</v>
      </c>
      <c r="D42" s="276"/>
      <c r="E42" s="110">
        <f>SUM(E11+E28+E33+E40)</f>
        <v>8771</v>
      </c>
      <c r="F42" s="114">
        <f>SUM(F11+F28+F33+F40)</f>
        <v>116</v>
      </c>
    </row>
    <row r="43" spans="1:6" x14ac:dyDescent="0.2">
      <c r="B43" s="4"/>
      <c r="C43" s="371"/>
      <c r="D43" s="4"/>
      <c r="E43" s="371"/>
    </row>
    <row r="44" spans="1:6" x14ac:dyDescent="0.2">
      <c r="A44" t="s">
        <v>313</v>
      </c>
      <c r="B44" s="4">
        <v>12</v>
      </c>
      <c r="C44" s="371">
        <v>19</v>
      </c>
      <c r="D44" s="4"/>
      <c r="E44" s="109">
        <v>15</v>
      </c>
      <c r="F44" s="4">
        <f>E44-C44</f>
        <v>-4</v>
      </c>
    </row>
    <row r="45" spans="1:6" x14ac:dyDescent="0.2">
      <c r="A45" t="s">
        <v>314</v>
      </c>
      <c r="B45" s="4">
        <v>37</v>
      </c>
      <c r="C45" s="371">
        <v>36</v>
      </c>
      <c r="D45" s="4"/>
      <c r="E45" s="109">
        <v>39</v>
      </c>
      <c r="F45" s="4">
        <f>E45-C45</f>
        <v>3</v>
      </c>
    </row>
    <row r="46" spans="1:6" x14ac:dyDescent="0.2">
      <c r="A46" s="366" t="s">
        <v>26</v>
      </c>
      <c r="B46" s="271">
        <f>SUM(B44:B45)</f>
        <v>49</v>
      </c>
      <c r="C46" s="372">
        <f>SUM(C44:C45)</f>
        <v>55</v>
      </c>
      <c r="D46" s="272"/>
      <c r="E46" s="108">
        <f>SUM(E44:E45)</f>
        <v>54</v>
      </c>
      <c r="F46" s="112">
        <f>SUM(F44:F45)</f>
        <v>-1</v>
      </c>
    </row>
    <row r="47" spans="1:6" x14ac:dyDescent="0.2">
      <c r="B47" s="4"/>
      <c r="C47" s="371"/>
      <c r="D47" s="4"/>
      <c r="E47" s="371"/>
    </row>
    <row r="48" spans="1:6" x14ac:dyDescent="0.2">
      <c r="A48" s="7" t="s">
        <v>315</v>
      </c>
      <c r="B48" s="276">
        <f>B42+B46</f>
        <v>8786</v>
      </c>
      <c r="C48" s="430">
        <f>C42+C46</f>
        <v>8710</v>
      </c>
      <c r="D48" s="276"/>
      <c r="E48" s="110">
        <f>E42+E46</f>
        <v>8825</v>
      </c>
      <c r="F48" s="276">
        <f>F42+F46</f>
        <v>115</v>
      </c>
    </row>
    <row r="49" spans="1:5" s="175" customFormat="1" x14ac:dyDescent="0.2">
      <c r="B49" s="190"/>
      <c r="C49" s="374"/>
      <c r="D49" s="190"/>
      <c r="E49" s="374"/>
    </row>
    <row r="50" spans="1:5" x14ac:dyDescent="0.2">
      <c r="A50" s="248" t="s">
        <v>876</v>
      </c>
    </row>
    <row r="51" spans="1:5" x14ac:dyDescent="0.2">
      <c r="A51" s="248" t="s">
        <v>877</v>
      </c>
    </row>
    <row r="52" spans="1:5" x14ac:dyDescent="0.2">
      <c r="A52" s="248" t="s">
        <v>878</v>
      </c>
    </row>
    <row r="54" spans="1:5" x14ac:dyDescent="0.2">
      <c r="A54" s="248" t="s">
        <v>1202</v>
      </c>
    </row>
    <row r="55" spans="1:5" x14ac:dyDescent="0.2">
      <c r="A55" s="248" t="s">
        <v>1157</v>
      </c>
    </row>
    <row r="56" spans="1:5" x14ac:dyDescent="0.2">
      <c r="A56" s="248" t="s">
        <v>957</v>
      </c>
    </row>
    <row r="57" spans="1:5" x14ac:dyDescent="0.2">
      <c r="A57" s="248" t="s">
        <v>958</v>
      </c>
    </row>
  </sheetData>
  <mergeCells count="2">
    <mergeCell ref="A1:F1"/>
    <mergeCell ref="A3:F3"/>
  </mergeCells>
  <phoneticPr fontId="0" type="noConversion"/>
  <printOptions horizontalCentered="1"/>
  <pageMargins left="0.36" right="0.28999999999999998" top="1" bottom="0.53" header="0.5" footer="0.26"/>
  <pageSetup firstPageNumber="11" orientation="portrait" useFirstPageNumber="1" r:id="rId1"/>
  <headerFooter alignWithMargins="0">
    <oddFooter>&amp;L&amp;6&amp;Z&amp;F   &amp;A&amp;C&amp;8                                                            &amp;6Page &amp;P&amp;R&amp;6&amp;D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X59"/>
  <sheetViews>
    <sheetView zoomScale="115" zoomScaleNormal="115" workbookViewId="0">
      <selection activeCell="M20" sqref="M20"/>
    </sheetView>
  </sheetViews>
  <sheetFormatPr defaultRowHeight="12.75" x14ac:dyDescent="0.2"/>
  <cols>
    <col min="1" max="1" width="21.85546875" customWidth="1"/>
    <col min="2" max="2" width="8.140625" customWidth="1"/>
    <col min="3" max="3" width="12.28515625" style="38" bestFit="1" customWidth="1"/>
    <col min="4" max="4" width="15.42578125" style="184" bestFit="1" customWidth="1"/>
    <col min="5" max="5" width="11" style="1" bestFit="1" customWidth="1"/>
    <col min="6" max="6" width="11.28515625" style="1" bestFit="1" customWidth="1"/>
    <col min="7" max="7" width="11.5703125" style="1" customWidth="1"/>
    <col min="8" max="8" width="11.140625" style="1" customWidth="1"/>
    <col min="9" max="9" width="11.28515625" style="1" bestFit="1" customWidth="1"/>
    <col min="10" max="10" width="12.85546875" style="1" bestFit="1" customWidth="1"/>
    <col min="11" max="11" width="11.28515625" style="1" bestFit="1" customWidth="1"/>
    <col min="12" max="13" width="11.7109375" style="1" bestFit="1" customWidth="1"/>
    <col min="14" max="14" width="11.28515625" style="38" customWidth="1"/>
    <col min="15" max="15" width="11" style="1" customWidth="1"/>
    <col min="16" max="16" width="12" style="1" bestFit="1" customWidth="1"/>
    <col min="17" max="17" width="12.85546875" style="1" bestFit="1" customWidth="1"/>
    <col min="18" max="18" width="11.7109375" style="1" bestFit="1" customWidth="1"/>
    <col min="19" max="19" width="15.42578125" style="1" bestFit="1" customWidth="1"/>
    <col min="20" max="20" width="13.5703125" bestFit="1" customWidth="1"/>
  </cols>
  <sheetData>
    <row r="1" spans="1:21" s="395" customFormat="1" x14ac:dyDescent="0.2">
      <c r="C1" s="38"/>
      <c r="D1" s="184"/>
      <c r="E1" s="1"/>
      <c r="F1" s="1"/>
      <c r="G1" s="1"/>
      <c r="H1" s="1"/>
      <c r="I1" s="1"/>
      <c r="J1" s="1"/>
      <c r="K1" s="1"/>
      <c r="L1" s="1"/>
      <c r="M1" s="1"/>
      <c r="N1" s="38"/>
      <c r="O1" s="1"/>
      <c r="P1" s="1"/>
      <c r="Q1" s="1"/>
      <c r="R1" s="1"/>
      <c r="S1" s="1"/>
    </row>
    <row r="2" spans="1:21" s="395" customFormat="1" ht="18" x14ac:dyDescent="0.25">
      <c r="A2" s="687" t="s">
        <v>1316</v>
      </c>
      <c r="B2" s="687"/>
      <c r="C2" s="687"/>
      <c r="D2" s="687"/>
      <c r="E2" s="687"/>
      <c r="F2" s="687"/>
      <c r="G2" s="687"/>
      <c r="H2" s="687"/>
      <c r="I2" s="687"/>
      <c r="J2" s="687"/>
      <c r="K2" s="687"/>
      <c r="L2" s="687"/>
      <c r="M2" s="687"/>
      <c r="N2" s="687"/>
      <c r="O2" s="687"/>
      <c r="P2" s="687"/>
      <c r="Q2" s="687"/>
      <c r="R2" s="687"/>
      <c r="S2" s="687"/>
    </row>
    <row r="3" spans="1:21" s="395" customFormat="1" x14ac:dyDescent="0.2">
      <c r="A3" s="688"/>
      <c r="B3" s="689"/>
      <c r="C3" s="689"/>
      <c r="D3" s="689"/>
      <c r="E3" s="689"/>
      <c r="F3" s="689"/>
      <c r="G3" s="689"/>
      <c r="H3" s="689"/>
      <c r="I3" s="689"/>
      <c r="J3" s="689"/>
      <c r="K3" s="689"/>
      <c r="L3" s="689"/>
      <c r="M3" s="689"/>
      <c r="N3" s="689"/>
      <c r="O3" s="689"/>
      <c r="P3" s="689"/>
      <c r="Q3" s="689"/>
      <c r="R3" s="689"/>
      <c r="S3" s="689"/>
    </row>
    <row r="4" spans="1:21" x14ac:dyDescent="0.2">
      <c r="A4" s="203"/>
      <c r="B4" s="142"/>
      <c r="C4" s="399"/>
      <c r="D4" s="478"/>
      <c r="E4" s="399"/>
      <c r="F4" s="399"/>
      <c r="G4" s="142"/>
      <c r="H4" s="399"/>
      <c r="I4" s="399"/>
      <c r="J4" s="399"/>
      <c r="K4" s="399"/>
      <c r="L4" s="399"/>
      <c r="M4" s="399"/>
      <c r="N4" s="194"/>
      <c r="O4" s="691" t="s">
        <v>959</v>
      </c>
      <c r="P4" s="690" t="s">
        <v>959</v>
      </c>
      <c r="Q4" s="691" t="s">
        <v>959</v>
      </c>
      <c r="R4" s="690" t="s">
        <v>959</v>
      </c>
      <c r="S4" s="142"/>
    </row>
    <row r="5" spans="1:21" s="387" customFormat="1" x14ac:dyDescent="0.2">
      <c r="A5" s="428"/>
      <c r="B5" s="428"/>
      <c r="C5" s="255" t="s">
        <v>4</v>
      </c>
      <c r="D5" s="496" t="s">
        <v>653</v>
      </c>
      <c r="E5" s="254"/>
      <c r="F5" s="254" t="s">
        <v>6</v>
      </c>
      <c r="G5" s="254"/>
      <c r="H5" s="254" t="s">
        <v>9</v>
      </c>
      <c r="I5" s="254" t="s">
        <v>1174</v>
      </c>
      <c r="J5" s="254"/>
      <c r="K5" s="254"/>
      <c r="L5" s="254" t="s">
        <v>5</v>
      </c>
      <c r="M5" s="254" t="s">
        <v>372</v>
      </c>
      <c r="N5" s="255" t="s">
        <v>372</v>
      </c>
      <c r="O5" s="254"/>
      <c r="P5" s="254"/>
      <c r="Q5" s="254"/>
      <c r="R5" s="254" t="s">
        <v>7</v>
      </c>
      <c r="S5" s="497" t="s">
        <v>8</v>
      </c>
    </row>
    <row r="6" spans="1:21" s="387" customFormat="1" x14ac:dyDescent="0.2">
      <c r="A6" s="428"/>
      <c r="B6" s="428" t="s">
        <v>10</v>
      </c>
      <c r="C6" s="255" t="s">
        <v>12</v>
      </c>
      <c r="D6" s="496" t="s">
        <v>654</v>
      </c>
      <c r="E6" s="254" t="s">
        <v>13</v>
      </c>
      <c r="F6" s="254" t="s">
        <v>16</v>
      </c>
      <c r="G6" s="254" t="s">
        <v>17</v>
      </c>
      <c r="H6" s="382" t="s">
        <v>424</v>
      </c>
      <c r="I6" s="254" t="s">
        <v>9</v>
      </c>
      <c r="J6" s="254" t="s">
        <v>14</v>
      </c>
      <c r="K6" s="254" t="s">
        <v>19</v>
      </c>
      <c r="L6" s="254" t="s">
        <v>15</v>
      </c>
      <c r="M6" s="254" t="s">
        <v>371</v>
      </c>
      <c r="N6" s="255" t="s">
        <v>639</v>
      </c>
      <c r="O6" s="254"/>
      <c r="P6" s="254" t="s">
        <v>24</v>
      </c>
      <c r="Q6" s="254" t="s">
        <v>18</v>
      </c>
      <c r="R6" s="254" t="s">
        <v>20</v>
      </c>
      <c r="S6" s="497" t="s">
        <v>21</v>
      </c>
    </row>
    <row r="7" spans="1:21" s="387" customFormat="1" ht="15" x14ac:dyDescent="0.35">
      <c r="A7" s="9" t="s">
        <v>9</v>
      </c>
      <c r="B7" s="9" t="s">
        <v>22</v>
      </c>
      <c r="C7" s="498">
        <v>6999</v>
      </c>
      <c r="D7" s="499" t="s">
        <v>655</v>
      </c>
      <c r="E7" s="10" t="s">
        <v>25</v>
      </c>
      <c r="F7" s="10" t="s">
        <v>28</v>
      </c>
      <c r="G7" s="115">
        <v>3321</v>
      </c>
      <c r="H7" s="381" t="s">
        <v>940</v>
      </c>
      <c r="I7" s="10" t="s">
        <v>127</v>
      </c>
      <c r="J7" s="10" t="s">
        <v>27</v>
      </c>
      <c r="K7" s="501" t="s">
        <v>716</v>
      </c>
      <c r="L7" s="10" t="s">
        <v>193</v>
      </c>
      <c r="M7" s="500" t="s">
        <v>373</v>
      </c>
      <c r="N7" s="502" t="s">
        <v>374</v>
      </c>
      <c r="O7" s="10" t="s">
        <v>335</v>
      </c>
      <c r="P7" s="115">
        <v>3420</v>
      </c>
      <c r="Q7" s="115">
        <v>3420</v>
      </c>
      <c r="R7" s="501" t="s">
        <v>713</v>
      </c>
      <c r="S7" s="11" t="s">
        <v>29</v>
      </c>
    </row>
    <row r="8" spans="1:21" s="410" customFormat="1" ht="11.25" x14ac:dyDescent="0.2">
      <c r="A8" s="296"/>
      <c r="B8" s="537"/>
      <c r="C8" s="822"/>
      <c r="D8" s="538"/>
      <c r="E8" s="538"/>
      <c r="F8" s="538"/>
      <c r="G8" s="539"/>
      <c r="H8" s="538"/>
      <c r="I8" s="538"/>
      <c r="J8" s="538"/>
      <c r="K8" s="540"/>
      <c r="L8" s="538"/>
      <c r="M8" s="538"/>
      <c r="N8" s="542"/>
      <c r="O8" s="538"/>
      <c r="P8" s="540"/>
      <c r="Q8" s="540"/>
      <c r="R8" s="541"/>
      <c r="S8" s="479"/>
    </row>
    <row r="9" spans="1:21" s="116" customFormat="1" ht="11.25" x14ac:dyDescent="0.2">
      <c r="A9" s="95"/>
      <c r="B9" s="95"/>
      <c r="C9" s="117"/>
      <c r="D9" s="479"/>
      <c r="E9" s="118"/>
      <c r="F9" s="118"/>
      <c r="G9" s="119"/>
      <c r="H9" s="118"/>
      <c r="I9" s="118"/>
      <c r="J9" s="118"/>
      <c r="K9" s="119"/>
      <c r="L9" s="118"/>
      <c r="M9" s="118"/>
      <c r="N9" s="195"/>
      <c r="O9" s="118"/>
      <c r="P9" s="119"/>
      <c r="Q9" s="119"/>
      <c r="R9" s="119"/>
      <c r="S9" s="479"/>
      <c r="T9" s="410"/>
    </row>
    <row r="10" spans="1:21" s="380" customFormat="1" x14ac:dyDescent="0.2">
      <c r="A10" s="375" t="s">
        <v>30</v>
      </c>
      <c r="B10" s="375">
        <f>'5-Enrollment Projection'!E8</f>
        <v>36</v>
      </c>
      <c r="C10" s="376">
        <f>IF(B10&lt;40,B10*$D$51+1750,B10*$D$51)</f>
        <v>8698</v>
      </c>
      <c r="D10" s="377">
        <f>'7-Nurse'!E9</f>
        <v>109.45</v>
      </c>
      <c r="E10" s="377">
        <f>'8-Capital Equip-Schools'!F9</f>
        <v>385.2</v>
      </c>
      <c r="F10" s="377">
        <f>'9-Lib-Media'!D9</f>
        <v>756</v>
      </c>
      <c r="G10" s="377">
        <f>'10-Admin'!D9</f>
        <v>3078</v>
      </c>
      <c r="H10" s="377">
        <f>'11-School Improvment'!C8</f>
        <v>526</v>
      </c>
      <c r="I10" s="378" t="s">
        <v>31</v>
      </c>
      <c r="J10" s="378" t="s">
        <v>31</v>
      </c>
      <c r="K10" s="377">
        <f>'13-Custodial'!H9</f>
        <v>1278.8</v>
      </c>
      <c r="L10" s="377">
        <f>'14-Special Prog'!S8</f>
        <v>150</v>
      </c>
      <c r="M10" s="379">
        <f>'15-Prof''l Dev-Certified'!C11</f>
        <v>865.03941152144762</v>
      </c>
      <c r="N10" s="376">
        <f>'16-Prof''l Dev-ESP'!C12</f>
        <v>430.60865063443623</v>
      </c>
      <c r="O10" s="693">
        <f>'Mileage-Schools'!I9</f>
        <v>1900</v>
      </c>
      <c r="P10" s="692">
        <f>Telephone!E9</f>
        <v>1600</v>
      </c>
      <c r="Q10" s="692">
        <f>Utilities!C11</f>
        <v>40000</v>
      </c>
      <c r="R10" s="692">
        <v>225</v>
      </c>
      <c r="S10" s="572">
        <f>SUM(C10:R10)</f>
        <v>60002.098062155885</v>
      </c>
      <c r="T10" s="375"/>
      <c r="U10" s="418"/>
    </row>
    <row r="11" spans="1:21" s="380" customFormat="1" x14ac:dyDescent="0.2">
      <c r="A11" s="375" t="s">
        <v>32</v>
      </c>
      <c r="B11" s="375">
        <f>'5-Enrollment Projection'!B9</f>
        <v>25</v>
      </c>
      <c r="C11" s="376">
        <f t="shared" ref="C11:C12" si="0">IF(B11&lt;40,B11*$D$51+1750,B11*$D$51)</f>
        <v>6575</v>
      </c>
      <c r="D11" s="377">
        <f>'7-Nurse'!E10</f>
        <v>99.99</v>
      </c>
      <c r="E11" s="377">
        <f>'8-Capital Equip-Schools'!F10</f>
        <v>350</v>
      </c>
      <c r="F11" s="377">
        <f>'9-Lib-Media'!D10</f>
        <v>525</v>
      </c>
      <c r="G11" s="377">
        <f>'10-Admin'!D10</f>
        <v>3078</v>
      </c>
      <c r="H11" s="377">
        <f>'11-School Improvment'!C9</f>
        <v>526</v>
      </c>
      <c r="I11" s="378" t="s">
        <v>31</v>
      </c>
      <c r="J11" s="378" t="s">
        <v>31</v>
      </c>
      <c r="K11" s="377">
        <f>'13-Custodial'!H10</f>
        <v>1095.4100000000001</v>
      </c>
      <c r="L11" s="377">
        <f>'14-Special Prog'!S9</f>
        <v>150</v>
      </c>
      <c r="M11" s="379">
        <f>'15-Prof''l Dev-Certified'!C12</f>
        <v>924.51087106354714</v>
      </c>
      <c r="N11" s="376">
        <f>'16-Prof''l Dev-ESP'!C13</f>
        <v>426.1231438569942</v>
      </c>
      <c r="O11" s="693">
        <f>'Mileage-Schools'!I10</f>
        <v>1900</v>
      </c>
      <c r="P11" s="692">
        <f>Telephone!E10</f>
        <v>1240</v>
      </c>
      <c r="Q11" s="692">
        <f>Utilities!C12</f>
        <v>35900</v>
      </c>
      <c r="R11" s="692">
        <v>225</v>
      </c>
      <c r="S11" s="572">
        <f>SUM(C11:R11)</f>
        <v>53015.034014920544</v>
      </c>
      <c r="T11" s="375"/>
    </row>
    <row r="12" spans="1:21" s="380" customFormat="1" x14ac:dyDescent="0.2">
      <c r="A12" s="375" t="s">
        <v>33</v>
      </c>
      <c r="B12" s="375">
        <f>'5-Enrollment Projection'!B10</f>
        <v>16</v>
      </c>
      <c r="C12" s="376">
        <f t="shared" si="0"/>
        <v>4838</v>
      </c>
      <c r="D12" s="377">
        <f>'7-Nurse'!E11</f>
        <v>92.25</v>
      </c>
      <c r="E12" s="377">
        <f>'8-Capital Equip-Schools'!F11</f>
        <v>321.2</v>
      </c>
      <c r="F12" s="377">
        <f>'9-Lib-Media'!D11</f>
        <v>336</v>
      </c>
      <c r="G12" s="377">
        <f>'10-Admin'!D11</f>
        <v>3078</v>
      </c>
      <c r="H12" s="377">
        <f>'11-School Improvment'!C10</f>
        <v>526</v>
      </c>
      <c r="I12" s="378" t="s">
        <v>31</v>
      </c>
      <c r="J12" s="378" t="s">
        <v>31</v>
      </c>
      <c r="K12" s="377">
        <f>'13-Custodial'!H11</f>
        <v>1211.83</v>
      </c>
      <c r="L12" s="377">
        <f>'14-Special Prog'!S10</f>
        <v>150</v>
      </c>
      <c r="M12" s="379">
        <f>'15-Prof''l Dev-Certified'!C13</f>
        <v>708.25101818318524</v>
      </c>
      <c r="N12" s="376">
        <f>'16-Prof''l Dev-ESP'!C14</f>
        <v>337.90817723396736</v>
      </c>
      <c r="O12" s="693">
        <f>'Mileage-Schools'!I11</f>
        <v>1900</v>
      </c>
      <c r="P12" s="692">
        <f>Telephone!E11</f>
        <v>1100</v>
      </c>
      <c r="Q12" s="692">
        <f>Utilities!C13</f>
        <v>24050</v>
      </c>
      <c r="R12" s="692">
        <v>225</v>
      </c>
      <c r="S12" s="572">
        <f>SUM(C12:R12)</f>
        <v>38874.439195417151</v>
      </c>
      <c r="T12" s="375"/>
    </row>
    <row r="13" spans="1:21" x14ac:dyDescent="0.2">
      <c r="A13" s="5" t="s">
        <v>34</v>
      </c>
      <c r="B13" s="5">
        <f t="shared" ref="B13:M13" si="1">SUM(B10:B12)</f>
        <v>77</v>
      </c>
      <c r="C13" s="53">
        <f t="shared" si="1"/>
        <v>20111</v>
      </c>
      <c r="D13" s="480">
        <f>SUM(D10:D12)</f>
        <v>301.69</v>
      </c>
      <c r="E13" s="6">
        <f>SUM(E10:E12)</f>
        <v>1056.4000000000001</v>
      </c>
      <c r="F13" s="6">
        <f>SUM(F10:F12)</f>
        <v>1617</v>
      </c>
      <c r="G13" s="6">
        <f>SUM(G10:G12)</f>
        <v>9234</v>
      </c>
      <c r="H13" s="6">
        <f t="shared" si="1"/>
        <v>1578</v>
      </c>
      <c r="I13" s="480">
        <f t="shared" si="1"/>
        <v>0</v>
      </c>
      <c r="J13" s="6">
        <f>SUM(J10:J12)</f>
        <v>0</v>
      </c>
      <c r="K13" s="6">
        <f>SUM(K10:K12)</f>
        <v>3586.04</v>
      </c>
      <c r="L13" s="6">
        <f>SUM(L10:L12)</f>
        <v>450</v>
      </c>
      <c r="M13" s="363">
        <f t="shared" si="1"/>
        <v>2497.8013007681802</v>
      </c>
      <c r="N13" s="197">
        <f>SUM(N10:N12)</f>
        <v>1194.6399717253978</v>
      </c>
      <c r="O13" s="6">
        <f>SUM(O10:O12)</f>
        <v>5700</v>
      </c>
      <c r="P13" s="6">
        <f>SUM(P10:P12)</f>
        <v>3940</v>
      </c>
      <c r="Q13" s="6">
        <f t="shared" ref="Q13:S13" si="2">SUM(Q10:Q12)</f>
        <v>99950</v>
      </c>
      <c r="R13" s="6">
        <f t="shared" si="2"/>
        <v>675</v>
      </c>
      <c r="S13" s="6">
        <f t="shared" si="2"/>
        <v>151891.57127249357</v>
      </c>
      <c r="T13" s="397"/>
    </row>
    <row r="14" spans="1:21" x14ac:dyDescent="0.2">
      <c r="N14" s="198"/>
      <c r="S14" s="184"/>
      <c r="T14" s="397"/>
    </row>
    <row r="15" spans="1:21" s="380" customFormat="1" x14ac:dyDescent="0.2">
      <c r="A15" s="380" t="s">
        <v>693</v>
      </c>
      <c r="B15" s="375">
        <f>'5-Enrollment Projection'!E14</f>
        <v>417</v>
      </c>
      <c r="C15" s="376">
        <f t="shared" ref="C15:C27" si="3">IF(B15&lt;250,B15*$D$53,B15*$D$54)</f>
        <v>64218</v>
      </c>
      <c r="D15" s="377">
        <f>'7-Nurse'!E14</f>
        <v>679.12</v>
      </c>
      <c r="E15" s="377">
        <f>'8-Capital Equip-Schools'!F14</f>
        <v>1313.55</v>
      </c>
      <c r="F15" s="377">
        <f>'9-Lib-Media'!D14</f>
        <v>5462.7</v>
      </c>
      <c r="G15" s="377">
        <f>'10-Admin'!D14</f>
        <v>4105.05</v>
      </c>
      <c r="H15" s="385">
        <f>'11-School Improvment'!C13</f>
        <v>658</v>
      </c>
      <c r="I15" s="378" t="s">
        <v>31</v>
      </c>
      <c r="J15" s="378" t="s">
        <v>31</v>
      </c>
      <c r="K15" s="377">
        <f>'13-Custodial'!H14</f>
        <v>4693.29</v>
      </c>
      <c r="L15" s="377">
        <f>'14-Special Prog'!S13</f>
        <v>2200</v>
      </c>
      <c r="M15" s="379">
        <f>'15-Prof''l Dev-Certified'!C16</f>
        <v>6451.752277597463</v>
      </c>
      <c r="N15" s="376">
        <f>'16-Prof''l Dev-ESP'!C17</f>
        <v>2705.6576881530414</v>
      </c>
      <c r="O15" s="693">
        <f>'Mileage-Schools'!I14</f>
        <v>0</v>
      </c>
      <c r="P15" s="692">
        <f>Telephone!E14</f>
        <v>2690</v>
      </c>
      <c r="Q15" s="692">
        <f>Utilities!C16</f>
        <v>83750</v>
      </c>
      <c r="R15" s="692">
        <v>225</v>
      </c>
      <c r="S15" s="572">
        <f t="shared" ref="S15:S29" si="4">SUM(C15:R15)</f>
        <v>179152.11996575049</v>
      </c>
      <c r="T15" s="375"/>
    </row>
    <row r="16" spans="1:21" s="375" customFormat="1" x14ac:dyDescent="0.2">
      <c r="A16" s="375" t="s">
        <v>35</v>
      </c>
      <c r="B16" s="375">
        <f>'5-Enrollment Projection'!E15</f>
        <v>372</v>
      </c>
      <c r="C16" s="376">
        <f t="shared" si="3"/>
        <v>57288</v>
      </c>
      <c r="D16" s="377">
        <f>'7-Nurse'!E15</f>
        <v>595.79000000000008</v>
      </c>
      <c r="E16" s="377">
        <f>'8-Capital Equip-Schools'!F15</f>
        <v>1171.8</v>
      </c>
      <c r="F16" s="377">
        <f>'9-Lib-Media'!D15</f>
        <v>4873.2</v>
      </c>
      <c r="G16" s="377">
        <f>'10-Admin'!D15</f>
        <v>3828.3</v>
      </c>
      <c r="H16" s="377">
        <f>'11-School Improvment'!C14</f>
        <v>658</v>
      </c>
      <c r="I16" s="378" t="s">
        <v>31</v>
      </c>
      <c r="J16" s="378" t="s">
        <v>31</v>
      </c>
      <c r="K16" s="377">
        <f>'13-Custodial'!H15</f>
        <v>4020.92</v>
      </c>
      <c r="L16" s="377">
        <f>'14-Special Prog'!S14</f>
        <v>2400</v>
      </c>
      <c r="M16" s="379">
        <f>'15-Prof''l Dev-Certified'!C17</f>
        <v>6938.336946578278</v>
      </c>
      <c r="N16" s="376">
        <f>'16-Prof''l Dev-ESP'!C18</f>
        <v>2974.7880947995641</v>
      </c>
      <c r="O16" s="693">
        <f>'Mileage-Schools'!I15</f>
        <v>0</v>
      </c>
      <c r="P16" s="692">
        <f>Telephone!E15</f>
        <v>3200</v>
      </c>
      <c r="Q16" s="692">
        <f>Utilities!C17</f>
        <v>68410</v>
      </c>
      <c r="R16" s="692">
        <v>225</v>
      </c>
      <c r="S16" s="572">
        <f t="shared" si="4"/>
        <v>156584.13504137783</v>
      </c>
    </row>
    <row r="17" spans="1:20" s="375" customFormat="1" x14ac:dyDescent="0.2">
      <c r="A17" s="375" t="s">
        <v>36</v>
      </c>
      <c r="B17" s="375">
        <f>'5-Enrollment Projection'!E16</f>
        <v>209</v>
      </c>
      <c r="C17" s="376">
        <f t="shared" si="3"/>
        <v>33231</v>
      </c>
      <c r="D17" s="377">
        <f>'7-Nurse'!E16</f>
        <v>410.21</v>
      </c>
      <c r="E17" s="377">
        <f>'8-Capital Equip-Schools'!F16</f>
        <v>658.35</v>
      </c>
      <c r="F17" s="377">
        <f>'9-Lib-Media'!D16</f>
        <v>3093.2</v>
      </c>
      <c r="G17" s="377">
        <f>'10-Admin'!D16</f>
        <v>3078</v>
      </c>
      <c r="H17" s="377">
        <f>'11-School Improvment'!C15</f>
        <v>461</v>
      </c>
      <c r="I17" s="378" t="s">
        <v>31</v>
      </c>
      <c r="J17" s="378" t="s">
        <v>31</v>
      </c>
      <c r="K17" s="377">
        <f>'13-Custodial'!H16</f>
        <v>3167.52</v>
      </c>
      <c r="L17" s="377">
        <f>'14-Special Prog'!S15</f>
        <v>1200</v>
      </c>
      <c r="M17" s="379">
        <f>'15-Prof''l Dev-Certified'!C18</f>
        <v>4763.1232596899708</v>
      </c>
      <c r="N17" s="376">
        <f>'16-Prof''l Dev-ESP'!C19</f>
        <v>1662.6278455051845</v>
      </c>
      <c r="O17" s="693">
        <f>'Mileage-Schools'!I16</f>
        <v>170</v>
      </c>
      <c r="P17" s="692">
        <f>Telephone!E16</f>
        <v>2245</v>
      </c>
      <c r="Q17" s="692">
        <f>Utilities!C18</f>
        <v>65460</v>
      </c>
      <c r="R17" s="692">
        <v>225</v>
      </c>
      <c r="S17" s="572">
        <f t="shared" si="4"/>
        <v>119825.03110519514</v>
      </c>
    </row>
    <row r="18" spans="1:20" s="375" customFormat="1" x14ac:dyDescent="0.2">
      <c r="A18" s="375" t="s">
        <v>37</v>
      </c>
      <c r="B18" s="375">
        <f>'5-Enrollment Projection'!E17</f>
        <v>408</v>
      </c>
      <c r="C18" s="376">
        <f t="shared" si="3"/>
        <v>62832</v>
      </c>
      <c r="D18" s="377">
        <f>'7-Nurse'!E17</f>
        <v>671.38</v>
      </c>
      <c r="E18" s="377">
        <f>'8-Capital Equip-Schools'!F17</f>
        <v>1285.2</v>
      </c>
      <c r="F18" s="377">
        <f>'9-Lib-Media'!D17</f>
        <v>5344.8</v>
      </c>
      <c r="G18" s="377">
        <f>'10-Admin'!D17</f>
        <v>4049.7</v>
      </c>
      <c r="H18" s="377">
        <f>'11-School Improvment'!C16</f>
        <v>658</v>
      </c>
      <c r="I18" s="378" t="s">
        <v>31</v>
      </c>
      <c r="J18" s="378" t="s">
        <v>31</v>
      </c>
      <c r="K18" s="377">
        <f>'13-Custodial'!H17</f>
        <v>4642.71</v>
      </c>
      <c r="L18" s="377">
        <f>'14-Special Prog'!S16</f>
        <v>3500</v>
      </c>
      <c r="M18" s="379">
        <f>'15-Prof''l Dev-Certified'!C19</f>
        <v>7936.7366007092814</v>
      </c>
      <c r="N18" s="376">
        <f>'16-Prof''l Dev-ESP'!C20</f>
        <v>4179.2961814353339</v>
      </c>
      <c r="O18" s="693">
        <f>'Mileage-Schools'!I17</f>
        <v>0</v>
      </c>
      <c r="P18" s="692">
        <f>Telephone!E17</f>
        <v>2690</v>
      </c>
      <c r="Q18" s="692">
        <f>Utilities!C19</f>
        <v>93920</v>
      </c>
      <c r="R18" s="692">
        <v>225</v>
      </c>
      <c r="S18" s="572">
        <f t="shared" si="4"/>
        <v>191934.82278214459</v>
      </c>
    </row>
    <row r="19" spans="1:20" s="375" customFormat="1" x14ac:dyDescent="0.2">
      <c r="A19" s="375" t="s">
        <v>38</v>
      </c>
      <c r="B19" s="375">
        <f>'5-Enrollment Projection'!E18</f>
        <v>440</v>
      </c>
      <c r="C19" s="376">
        <f t="shared" si="3"/>
        <v>67760</v>
      </c>
      <c r="D19" s="377">
        <f>'7-Nurse'!E18</f>
        <v>698.9</v>
      </c>
      <c r="E19" s="377">
        <f>'8-Capital Equip-Schools'!F18</f>
        <v>1386</v>
      </c>
      <c r="F19" s="377">
        <f>'9-Lib-Media'!D18</f>
        <v>5764</v>
      </c>
      <c r="G19" s="377">
        <f>'10-Admin'!D18</f>
        <v>4246.5</v>
      </c>
      <c r="H19" s="377">
        <f>'11-School Improvment'!C17</f>
        <v>658</v>
      </c>
      <c r="I19" s="378" t="s">
        <v>31</v>
      </c>
      <c r="J19" s="378" t="s">
        <v>31</v>
      </c>
      <c r="K19" s="377">
        <f>'13-Custodial'!H18</f>
        <v>4822.55</v>
      </c>
      <c r="L19" s="377">
        <f>'14-Special Prog'!S17</f>
        <v>3100</v>
      </c>
      <c r="M19" s="379">
        <f>'15-Prof''l Dev-Certified'!C20</f>
        <v>7082.5101818318517</v>
      </c>
      <c r="N19" s="376">
        <f>'16-Prof''l Dev-ESP'!C21</f>
        <v>4851.5241304813153</v>
      </c>
      <c r="O19" s="693">
        <f>'Mileage-Schools'!I18</f>
        <v>0</v>
      </c>
      <c r="P19" s="692">
        <f>Telephone!E18</f>
        <v>2090</v>
      </c>
      <c r="Q19" s="692">
        <f>Utilities!C20</f>
        <v>93100</v>
      </c>
      <c r="R19" s="692">
        <v>225</v>
      </c>
      <c r="S19" s="572">
        <f t="shared" si="4"/>
        <v>195784.98431231314</v>
      </c>
    </row>
    <row r="20" spans="1:20" s="375" customFormat="1" x14ac:dyDescent="0.2">
      <c r="A20" s="375" t="s">
        <v>39</v>
      </c>
      <c r="B20" s="375">
        <f>'5-Enrollment Projection'!E19</f>
        <v>259</v>
      </c>
      <c r="C20" s="376">
        <f t="shared" si="3"/>
        <v>39886</v>
      </c>
      <c r="D20" s="377">
        <f>'7-Nurse'!E19</f>
        <v>453.21</v>
      </c>
      <c r="E20" s="377">
        <f>'8-Capital Equip-Schools'!F19</f>
        <v>815.85</v>
      </c>
      <c r="F20" s="377">
        <f>'9-Lib-Media'!D19</f>
        <v>3833.2</v>
      </c>
      <c r="G20" s="377">
        <f>'10-Admin'!D19</f>
        <v>3133.35</v>
      </c>
      <c r="H20" s="377">
        <f>'11-School Improvment'!C18</f>
        <v>658</v>
      </c>
      <c r="I20" s="378" t="s">
        <v>31</v>
      </c>
      <c r="J20" s="378" t="s">
        <v>31</v>
      </c>
      <c r="K20" s="377">
        <f>'13-Custodial'!H19</f>
        <v>2811.6</v>
      </c>
      <c r="L20" s="377">
        <f>'14-Special Prog'!S18</f>
        <v>1200</v>
      </c>
      <c r="M20" s="379">
        <f>'15-Prof''l Dev-Certified'!C21</f>
        <v>4793.760072181356</v>
      </c>
      <c r="N20" s="376">
        <f>'16-Prof''l Dev-ESP'!C22</f>
        <v>2399.4470921463308</v>
      </c>
      <c r="O20" s="693">
        <f>'Mileage-Schools'!I19</f>
        <v>0</v>
      </c>
      <c r="P20" s="692">
        <f>Telephone!E19</f>
        <v>2885</v>
      </c>
      <c r="Q20" s="692">
        <f>Utilities!C21</f>
        <v>59190</v>
      </c>
      <c r="R20" s="692">
        <v>225</v>
      </c>
      <c r="S20" s="572">
        <f t="shared" si="4"/>
        <v>122284.41716432768</v>
      </c>
    </row>
    <row r="21" spans="1:20" s="375" customFormat="1" x14ac:dyDescent="0.2">
      <c r="A21" s="375" t="s">
        <v>40</v>
      </c>
      <c r="B21" s="375">
        <f>'5-Enrollment Projection'!E20</f>
        <v>333</v>
      </c>
      <c r="C21" s="376">
        <f t="shared" si="3"/>
        <v>51282</v>
      </c>
      <c r="D21" s="377">
        <f>'7-Nurse'!E20</f>
        <v>562.25</v>
      </c>
      <c r="E21" s="377">
        <f>'8-Capital Equip-Schools'!F20</f>
        <v>1048.95</v>
      </c>
      <c r="F21" s="377">
        <f>'9-Lib-Media'!D20</f>
        <v>4362.3</v>
      </c>
      <c r="G21" s="377">
        <f>'10-Admin'!D20</f>
        <v>3588.45</v>
      </c>
      <c r="H21" s="377">
        <f>'11-School Improvment'!C19</f>
        <v>658</v>
      </c>
      <c r="I21" s="378" t="s">
        <v>31</v>
      </c>
      <c r="J21" s="378" t="s">
        <v>31</v>
      </c>
      <c r="K21" s="377">
        <f>'13-Custodial'!H20</f>
        <v>4097.5999999999995</v>
      </c>
      <c r="L21" s="377">
        <f>'14-Special Prog'!S19</f>
        <v>2300</v>
      </c>
      <c r="M21" s="379">
        <f>'15-Prof''l Dev-Certified'!C22</f>
        <v>5604.7345204827134</v>
      </c>
      <c r="N21" s="376">
        <f>'16-Prof''l Dev-ESP'!C23</f>
        <v>2736.7572018099727</v>
      </c>
      <c r="O21" s="693">
        <f>'Mileage-Schools'!I20</f>
        <v>275</v>
      </c>
      <c r="P21" s="692">
        <f>Telephone!E20</f>
        <v>2645</v>
      </c>
      <c r="Q21" s="692">
        <f>Utilities!C22</f>
        <v>85490</v>
      </c>
      <c r="R21" s="692">
        <v>225</v>
      </c>
      <c r="S21" s="572">
        <f t="shared" si="4"/>
        <v>164876.04172229269</v>
      </c>
    </row>
    <row r="22" spans="1:20" s="375" customFormat="1" x14ac:dyDescent="0.2">
      <c r="A22" s="375" t="s">
        <v>667</v>
      </c>
      <c r="B22" s="375">
        <f>'5-Enrollment Projection'!E21</f>
        <v>350</v>
      </c>
      <c r="C22" s="376">
        <f t="shared" si="3"/>
        <v>53900</v>
      </c>
      <c r="D22" s="377">
        <f>'7-Nurse'!E21</f>
        <v>576.87</v>
      </c>
      <c r="E22" s="377">
        <f>'8-Capital Equip-Schools'!F21</f>
        <v>1102.5</v>
      </c>
      <c r="F22" s="377">
        <f>'9-Lib-Media'!D21</f>
        <v>4585</v>
      </c>
      <c r="G22" s="377">
        <f>'10-Admin'!D21</f>
        <v>3693</v>
      </c>
      <c r="H22" s="377">
        <f>'11-School Improvment'!C20</f>
        <v>658</v>
      </c>
      <c r="I22" s="378" t="s">
        <v>31</v>
      </c>
      <c r="J22" s="378" t="s">
        <v>31</v>
      </c>
      <c r="K22" s="377">
        <f>'13-Custodial'!H21</f>
        <v>4309.7</v>
      </c>
      <c r="L22" s="377">
        <f>'14-Special Prog'!S20</f>
        <v>2400</v>
      </c>
      <c r="M22" s="379">
        <f>'15-Prof''l Dev-Certified'!C23</f>
        <v>6181.4274614970109</v>
      </c>
      <c r="N22" s="376">
        <f>'16-Prof''l Dev-ESP'!C24</f>
        <v>2877.9011484068155</v>
      </c>
      <c r="O22" s="693">
        <f>'Mileage-Schools'!I21</f>
        <v>0</v>
      </c>
      <c r="P22" s="692">
        <f>Telephone!E21</f>
        <v>2520</v>
      </c>
      <c r="Q22" s="692">
        <f>Utilities!C23</f>
        <v>88000</v>
      </c>
      <c r="R22" s="692">
        <v>225</v>
      </c>
      <c r="S22" s="572">
        <f t="shared" si="4"/>
        <v>171029.39860990382</v>
      </c>
    </row>
    <row r="23" spans="1:20" s="375" customFormat="1" x14ac:dyDescent="0.2">
      <c r="A23" s="375" t="s">
        <v>41</v>
      </c>
      <c r="B23" s="375">
        <f>'5-Enrollment Projection'!E22</f>
        <v>410</v>
      </c>
      <c r="C23" s="376">
        <f t="shared" si="3"/>
        <v>63140</v>
      </c>
      <c r="D23" s="377">
        <f>'7-Nurse'!E22</f>
        <v>673.1</v>
      </c>
      <c r="E23" s="377">
        <f>'8-Capital Equip-Schools'!F22</f>
        <v>1291.5</v>
      </c>
      <c r="F23" s="377">
        <f>'9-Lib-Media'!D22</f>
        <v>5371</v>
      </c>
      <c r="G23" s="377">
        <f>'10-Admin'!D22</f>
        <v>4062</v>
      </c>
      <c r="H23" s="377">
        <f>'11-School Improvment'!C21</f>
        <v>658</v>
      </c>
      <c r="I23" s="378" t="s">
        <v>31</v>
      </c>
      <c r="J23" s="378" t="s">
        <v>31</v>
      </c>
      <c r="K23" s="377">
        <f>'13-Custodial'!H22</f>
        <v>4578.45</v>
      </c>
      <c r="L23" s="377">
        <f>'14-Special Prog'!S21</f>
        <v>2500</v>
      </c>
      <c r="M23" s="379">
        <f>'15-Prof''l Dev-Certified'!C24</f>
        <v>6271.5357335304943</v>
      </c>
      <c r="N23" s="376">
        <f>'16-Prof''l Dev-ESP'!C25</f>
        <v>2283.4219835031631</v>
      </c>
      <c r="O23" s="693">
        <f>'Mileage-Schools'!I22</f>
        <v>0</v>
      </c>
      <c r="P23" s="692">
        <f>Telephone!E22</f>
        <v>3710</v>
      </c>
      <c r="Q23" s="692">
        <f>Utilities!C24</f>
        <v>105050</v>
      </c>
      <c r="R23" s="692">
        <v>225</v>
      </c>
      <c r="S23" s="572">
        <f t="shared" si="4"/>
        <v>199814.00771703367</v>
      </c>
    </row>
    <row r="24" spans="1:20" s="375" customFormat="1" x14ac:dyDescent="0.2">
      <c r="A24" s="375" t="s">
        <v>42</v>
      </c>
      <c r="B24" s="375">
        <f>'5-Enrollment Projection'!E23</f>
        <v>309</v>
      </c>
      <c r="C24" s="376">
        <f t="shared" si="3"/>
        <v>47586</v>
      </c>
      <c r="D24" s="377">
        <f>'7-Nurse'!E23</f>
        <v>541.61</v>
      </c>
      <c r="E24" s="377">
        <f>'8-Capital Equip-Schools'!F23</f>
        <v>1243.3499999999999</v>
      </c>
      <c r="F24" s="377">
        <f>'9-Lib-Media'!D23</f>
        <v>4047.9</v>
      </c>
      <c r="G24" s="377">
        <f>'10-Admin'!D23</f>
        <v>3440.85</v>
      </c>
      <c r="H24" s="377">
        <f>'11-School Improvment'!C22</f>
        <v>658</v>
      </c>
      <c r="I24" s="378" t="s">
        <v>31</v>
      </c>
      <c r="J24" s="378" t="s">
        <v>31</v>
      </c>
      <c r="K24" s="377">
        <f>'13-Custodial'!H23</f>
        <v>3815.99</v>
      </c>
      <c r="L24" s="377">
        <f>'14-Special Prog'!S22</f>
        <v>1500</v>
      </c>
      <c r="M24" s="379">
        <f>'15-Prof''l Dev-Certified'!C25</f>
        <v>4901.8899986215365</v>
      </c>
      <c r="N24" s="376">
        <f>'16-Prof''l Dev-ESP'!C26</f>
        <v>2093.2364961396206</v>
      </c>
      <c r="O24" s="693">
        <f>'Mileage-Schools'!I23</f>
        <v>0</v>
      </c>
      <c r="P24" s="692">
        <f>Telephone!E23</f>
        <v>1670</v>
      </c>
      <c r="Q24" s="692">
        <f>Utilities!C25</f>
        <v>76500</v>
      </c>
      <c r="R24" s="692">
        <v>225</v>
      </c>
      <c r="S24" s="572">
        <f t="shared" si="4"/>
        <v>148223.82649476116</v>
      </c>
    </row>
    <row r="25" spans="1:20" s="375" customFormat="1" x14ac:dyDescent="0.2">
      <c r="A25" s="375" t="s">
        <v>43</v>
      </c>
      <c r="B25" s="375">
        <f>'5-Enrollment Projection'!E24</f>
        <v>280</v>
      </c>
      <c r="C25" s="376">
        <f t="shared" si="3"/>
        <v>43120</v>
      </c>
      <c r="D25" s="377">
        <f>'7-Nurse'!E24</f>
        <v>471.27</v>
      </c>
      <c r="E25" s="377">
        <f>'8-Capital Equip-Schools'!F24</f>
        <v>882</v>
      </c>
      <c r="F25" s="377">
        <f>'9-Lib-Media'!D24</f>
        <v>4144</v>
      </c>
      <c r="G25" s="377">
        <f>'10-Admin'!D24</f>
        <v>3262.5</v>
      </c>
      <c r="H25" s="377">
        <f>'11-School Improvment'!C23</f>
        <v>658</v>
      </c>
      <c r="I25" s="378" t="s">
        <v>31</v>
      </c>
      <c r="J25" s="378" t="s">
        <v>31</v>
      </c>
      <c r="K25" s="377">
        <f>'13-Custodial'!H24</f>
        <v>4423.34</v>
      </c>
      <c r="L25" s="377">
        <f>'14-Special Prog'!S23</f>
        <v>1600</v>
      </c>
      <c r="M25" s="379">
        <f>'15-Prof''l Dev-Certified'!C26</f>
        <v>5280.3447411621701</v>
      </c>
      <c r="N25" s="376">
        <f>'16-Prof''l Dev-ESP'!C27</f>
        <v>1764.2993324605375</v>
      </c>
      <c r="O25" s="693">
        <f>'Mileage-Schools'!I24</f>
        <v>0</v>
      </c>
      <c r="P25" s="692">
        <f>Telephone!E24</f>
        <v>2605</v>
      </c>
      <c r="Q25" s="692">
        <f>Utilities!C26</f>
        <v>117240</v>
      </c>
      <c r="R25" s="692">
        <v>225</v>
      </c>
      <c r="S25" s="572">
        <f t="shared" si="4"/>
        <v>185675.75407362269</v>
      </c>
    </row>
    <row r="26" spans="1:20" s="375" customFormat="1" x14ac:dyDescent="0.2">
      <c r="A26" s="375" t="s">
        <v>818</v>
      </c>
      <c r="B26" s="375">
        <f>'5-Enrollment Projection'!E25</f>
        <v>406</v>
      </c>
      <c r="C26" s="376">
        <f t="shared" si="3"/>
        <v>62524</v>
      </c>
      <c r="D26" s="377">
        <f>'7-Nurse'!E25</f>
        <v>669.66</v>
      </c>
      <c r="E26" s="377">
        <f>'8-Capital Equip-Schools'!F25</f>
        <v>1278.9000000000001</v>
      </c>
      <c r="F26" s="377">
        <f>'9-Lib-Media'!D25</f>
        <v>5318.6</v>
      </c>
      <c r="G26" s="377">
        <f>'10-Admin'!D25</f>
        <v>4037.4</v>
      </c>
      <c r="H26" s="377">
        <f>'11-School Improvment'!C24</f>
        <v>658</v>
      </c>
      <c r="I26" s="378" t="s">
        <v>31</v>
      </c>
      <c r="J26" s="378" t="s">
        <v>31</v>
      </c>
      <c r="K26" s="377">
        <f>'13-Custodial'!H25</f>
        <v>4641.03</v>
      </c>
      <c r="L26" s="377">
        <f>'14-Special Prog'!S24</f>
        <v>1900</v>
      </c>
      <c r="M26" s="379">
        <f>'15-Prof''l Dev-Certified'!C27</f>
        <v>6055.2758806501333</v>
      </c>
      <c r="N26" s="376">
        <f>'16-Prof''l Dev-ESP'!C28</f>
        <v>1943.7196035582192</v>
      </c>
      <c r="O26" s="693">
        <v>0</v>
      </c>
      <c r="P26" s="692">
        <f>Telephone!E25</f>
        <v>3710</v>
      </c>
      <c r="Q26" s="692">
        <f>Utilities!C27</f>
        <v>84510</v>
      </c>
      <c r="R26" s="692">
        <v>225</v>
      </c>
      <c r="S26" s="572">
        <f t="shared" si="4"/>
        <v>177471.58548420836</v>
      </c>
    </row>
    <row r="27" spans="1:20" s="375" customFormat="1" x14ac:dyDescent="0.2">
      <c r="A27" s="375" t="s">
        <v>44</v>
      </c>
      <c r="B27" s="375">
        <f>'5-Enrollment Projection'!E26</f>
        <v>348</v>
      </c>
      <c r="C27" s="376">
        <f t="shared" si="3"/>
        <v>53592</v>
      </c>
      <c r="D27" s="377">
        <f>'7-Nurse'!E26</f>
        <v>575.15</v>
      </c>
      <c r="E27" s="377">
        <f>'8-Capital Equip-Schools'!F26</f>
        <v>1096.2</v>
      </c>
      <c r="F27" s="377">
        <f>'9-Lib-Media'!D26</f>
        <v>4558.8</v>
      </c>
      <c r="G27" s="377">
        <f>'10-Admin'!D26</f>
        <v>3680.7</v>
      </c>
      <c r="H27" s="377">
        <f>'11-School Improvment'!C25</f>
        <v>658</v>
      </c>
      <c r="I27" s="378" t="s">
        <v>31</v>
      </c>
      <c r="J27" s="378" t="s">
        <v>31</v>
      </c>
      <c r="K27" s="377">
        <f>'13-Custodial'!H26</f>
        <v>3978.1499999999996</v>
      </c>
      <c r="L27" s="377">
        <f>'14-Special Prog'!S25</f>
        <v>1900</v>
      </c>
      <c r="M27" s="379">
        <f>'15-Prof''l Dev-Certified'!C28</f>
        <v>6109.3408438702236</v>
      </c>
      <c r="N27" s="376">
        <f>'16-Prof''l Dev-ESP'!C29</f>
        <v>2242.753388721022</v>
      </c>
      <c r="O27" s="693">
        <f>'Mileage-Schools'!I26</f>
        <v>0</v>
      </c>
      <c r="P27" s="692">
        <f>Telephone!E26</f>
        <v>3105</v>
      </c>
      <c r="Q27" s="692">
        <f>Utilities!C28</f>
        <v>78000</v>
      </c>
      <c r="R27" s="692">
        <v>225</v>
      </c>
      <c r="S27" s="572">
        <f t="shared" si="4"/>
        <v>159721.09423259122</v>
      </c>
    </row>
    <row r="28" spans="1:20" s="375" customFormat="1" x14ac:dyDescent="0.2">
      <c r="A28" s="375" t="s">
        <v>798</v>
      </c>
      <c r="C28" s="376">
        <v>12989.35</v>
      </c>
      <c r="D28" s="377">
        <v>0</v>
      </c>
      <c r="E28" s="378" t="s">
        <v>31</v>
      </c>
      <c r="F28" s="377">
        <v>0</v>
      </c>
      <c r="G28" s="377">
        <f>'10-Admin'!D40</f>
        <v>3078</v>
      </c>
      <c r="H28" s="384" t="s">
        <v>31</v>
      </c>
      <c r="I28" s="377">
        <f>'12-Misc School Allocations'!E10</f>
        <v>113250</v>
      </c>
      <c r="J28" s="378" t="s">
        <v>31</v>
      </c>
      <c r="K28" s="377">
        <v>0</v>
      </c>
      <c r="L28" s="377">
        <v>0</v>
      </c>
      <c r="M28" s="379">
        <f>'15-Prof''l Dev-Certified'!C44</f>
        <v>4617</v>
      </c>
      <c r="N28" s="597">
        <v>0</v>
      </c>
      <c r="O28" s="693">
        <v>0</v>
      </c>
      <c r="P28" s="692">
        <f>Telephone!E27</f>
        <v>1080</v>
      </c>
      <c r="Q28" s="692">
        <v>0</v>
      </c>
      <c r="R28" s="692">
        <v>0</v>
      </c>
      <c r="S28" s="572">
        <f t="shared" si="4"/>
        <v>135014.35</v>
      </c>
    </row>
    <row r="29" spans="1:20" s="380" customFormat="1" x14ac:dyDescent="0.2">
      <c r="A29" s="375" t="s">
        <v>45</v>
      </c>
      <c r="B29" s="375">
        <f>'5-Enrollment Projection'!E27</f>
        <v>314</v>
      </c>
      <c r="C29" s="376">
        <f>IF(B29&lt;250,B29*$D$53,B29*$D$54)</f>
        <v>48356</v>
      </c>
      <c r="D29" s="377">
        <f>'7-Nurse'!E27</f>
        <v>545.91000000000008</v>
      </c>
      <c r="E29" s="377">
        <f>'8-Capital Equip-Schools'!F27</f>
        <v>989.1</v>
      </c>
      <c r="F29" s="377">
        <f>'9-Lib-Media'!D27</f>
        <v>4113.3999999999996</v>
      </c>
      <c r="G29" s="377">
        <f>'10-Admin'!D27</f>
        <v>3471.6</v>
      </c>
      <c r="H29" s="377">
        <f>'11-School Improvment'!C26</f>
        <v>658</v>
      </c>
      <c r="I29" s="378" t="s">
        <v>31</v>
      </c>
      <c r="J29" s="378" t="s">
        <v>31</v>
      </c>
      <c r="K29" s="377">
        <f>'13-Custodial'!H27</f>
        <v>3605.3799999999997</v>
      </c>
      <c r="L29" s="377">
        <f>'14-Special Prog'!S26</f>
        <v>1200</v>
      </c>
      <c r="M29" s="379">
        <f>'15-Prof''l Dev-Certified'!C29</f>
        <v>5316.3880499755633</v>
      </c>
      <c r="N29" s="376">
        <f>'16-Prof''l Dev-ESP'!C30</f>
        <v>1906.6394141980315</v>
      </c>
      <c r="O29" s="693">
        <f>'Mileage-Schools'!I27</f>
        <v>0</v>
      </c>
      <c r="P29" s="692">
        <f>Telephone!E28</f>
        <v>2940</v>
      </c>
      <c r="Q29" s="692">
        <f>Utilities!C29</f>
        <v>68110</v>
      </c>
      <c r="R29" s="692">
        <v>225</v>
      </c>
      <c r="S29" s="572">
        <f t="shared" si="4"/>
        <v>141437.41746417357</v>
      </c>
      <c r="T29" s="375"/>
    </row>
    <row r="30" spans="1:20" x14ac:dyDescent="0.2">
      <c r="A30" s="5" t="s">
        <v>46</v>
      </c>
      <c r="B30" s="5">
        <f t="shared" ref="B30:S30" si="5">SUM(B15:B29)</f>
        <v>4855</v>
      </c>
      <c r="C30" s="53">
        <f t="shared" si="5"/>
        <v>761704.35</v>
      </c>
      <c r="D30" s="480">
        <f>SUM(D15:D29)</f>
        <v>8124.43</v>
      </c>
      <c r="E30" s="6">
        <f>SUM(E15:E29)</f>
        <v>15563.250000000002</v>
      </c>
      <c r="F30" s="6">
        <f>SUM(F15:F29)</f>
        <v>64872.1</v>
      </c>
      <c r="G30" s="6">
        <f>SUM(G15:G29)</f>
        <v>54755.399999999994</v>
      </c>
      <c r="H30" s="6">
        <f t="shared" si="5"/>
        <v>9015</v>
      </c>
      <c r="I30" s="6">
        <f t="shared" si="5"/>
        <v>113250</v>
      </c>
      <c r="J30" s="6">
        <f>SUM(J15:J29)</f>
        <v>0</v>
      </c>
      <c r="K30" s="6">
        <f>SUM(K15:K29)</f>
        <v>57608.229999999996</v>
      </c>
      <c r="L30" s="6">
        <f>SUM(L15:L29)</f>
        <v>28900</v>
      </c>
      <c r="M30" s="363">
        <f t="shared" si="5"/>
        <v>88304.15656837805</v>
      </c>
      <c r="N30" s="197">
        <f t="shared" si="5"/>
        <v>36622.069601318151</v>
      </c>
      <c r="O30" s="6">
        <f>SUM(O15:O29)</f>
        <v>445</v>
      </c>
      <c r="P30" s="6">
        <f t="shared" si="5"/>
        <v>39785</v>
      </c>
      <c r="Q30" s="6">
        <f t="shared" si="5"/>
        <v>1166730</v>
      </c>
      <c r="R30" s="6">
        <f t="shared" si="5"/>
        <v>3150</v>
      </c>
      <c r="S30" s="6">
        <f t="shared" si="5"/>
        <v>2448828.9861696959</v>
      </c>
      <c r="T30" s="397"/>
    </row>
    <row r="31" spans="1:20" x14ac:dyDescent="0.2">
      <c r="N31" s="198"/>
      <c r="S31" s="479"/>
      <c r="T31" s="397"/>
    </row>
    <row r="32" spans="1:20" s="380" customFormat="1" x14ac:dyDescent="0.2">
      <c r="A32" s="375" t="s">
        <v>47</v>
      </c>
      <c r="B32" s="375">
        <f>'5-Enrollment Projection'!E31</f>
        <v>647</v>
      </c>
      <c r="C32" s="376">
        <f>SUM(B32*D$55)</f>
        <v>131988</v>
      </c>
      <c r="D32" s="377">
        <f>'7-Nurse'!E30</f>
        <v>1212.81</v>
      </c>
      <c r="E32" s="376">
        <f>'8-Capital Equip-Schools'!F30</f>
        <v>4367.25</v>
      </c>
      <c r="F32" s="379">
        <f>'9-Lib-Media'!D30</f>
        <v>9866.75</v>
      </c>
      <c r="G32" s="377">
        <f>'10-Admin'!D30</f>
        <v>7894.3099999999995</v>
      </c>
      <c r="H32" s="377">
        <f>'11-School Improvment'!C29</f>
        <v>658</v>
      </c>
      <c r="I32" s="376">
        <f>'12-Misc School Allocations'!E14</f>
        <v>17898</v>
      </c>
      <c r="J32" s="377">
        <v>45770</v>
      </c>
      <c r="K32" s="377">
        <f>'13-Custodial'!H30</f>
        <v>11246.179999999998</v>
      </c>
      <c r="L32" s="377">
        <f>'14-Special Prog'!S29</f>
        <v>3900</v>
      </c>
      <c r="M32" s="379">
        <f>'15-Prof''l Dev-Certified'!C32</f>
        <v>9623.5634531761043</v>
      </c>
      <c r="N32" s="376">
        <f>'16-Prof''l Dev-ESP'!C33</f>
        <v>3790.5522607236903</v>
      </c>
      <c r="O32" s="693">
        <f>'Mileage-Schools'!I30</f>
        <v>0</v>
      </c>
      <c r="P32" s="692">
        <f>Telephone!E31</f>
        <v>7800</v>
      </c>
      <c r="Q32" s="692">
        <f>Utilities!C32</f>
        <v>280420</v>
      </c>
      <c r="R32" s="692">
        <v>225</v>
      </c>
      <c r="S32" s="572">
        <f>SUM(C32:R32)</f>
        <v>536660.41571389977</v>
      </c>
      <c r="T32" s="375"/>
    </row>
    <row r="33" spans="1:20" s="380" customFormat="1" x14ac:dyDescent="0.2">
      <c r="A33" s="375" t="s">
        <v>48</v>
      </c>
      <c r="B33" s="375">
        <f>'5-Enrollment Projection'!E32</f>
        <v>663</v>
      </c>
      <c r="C33" s="376">
        <f>SUM(B33*D$55)</f>
        <v>135252</v>
      </c>
      <c r="D33" s="377">
        <f>'7-Nurse'!E31</f>
        <v>1226.57</v>
      </c>
      <c r="E33" s="376">
        <f>'8-Capital Equip-Schools'!F31</f>
        <v>4475.25</v>
      </c>
      <c r="F33" s="379">
        <f>'9-Lib-Media'!D31</f>
        <v>10110.75</v>
      </c>
      <c r="G33" s="377">
        <f>'10-Admin'!D31</f>
        <v>8041.99</v>
      </c>
      <c r="H33" s="377">
        <f>'11-School Improvment'!C30</f>
        <v>658</v>
      </c>
      <c r="I33" s="376">
        <f>'12-Misc School Allocations'!E17</f>
        <v>18305</v>
      </c>
      <c r="J33" s="377">
        <v>45770</v>
      </c>
      <c r="K33" s="377">
        <f>'13-Custodial'!H31</f>
        <v>11299.91</v>
      </c>
      <c r="L33" s="377">
        <f>'14-Special Prog'!S30</f>
        <v>3800</v>
      </c>
      <c r="M33" s="379">
        <f>'15-Prof''l Dev-Certified'!C33</f>
        <v>9951.5575633779863</v>
      </c>
      <c r="N33" s="376">
        <f>'16-Prof''l Dev-ESP'!C34</f>
        <v>3977.1493426652792</v>
      </c>
      <c r="O33" s="693">
        <f>'Mileage-Schools'!I31</f>
        <v>0</v>
      </c>
      <c r="P33" s="692">
        <f>Telephone!E32</f>
        <v>6660</v>
      </c>
      <c r="Q33" s="692">
        <f>Utilities!C33</f>
        <v>206210</v>
      </c>
      <c r="R33" s="692">
        <v>225</v>
      </c>
      <c r="S33" s="572">
        <f>SUM(C33:R33)</f>
        <v>465963.17690604326</v>
      </c>
      <c r="T33" s="375"/>
    </row>
    <row r="34" spans="1:20" x14ac:dyDescent="0.2">
      <c r="A34" s="5" t="s">
        <v>49</v>
      </c>
      <c r="B34" s="5">
        <f t="shared" ref="B34:S34" si="6">SUM(B32:B33)</f>
        <v>1310</v>
      </c>
      <c r="C34" s="53">
        <f t="shared" si="6"/>
        <v>267240</v>
      </c>
      <c r="D34" s="480">
        <f>SUM(D32:D33)</f>
        <v>2439.38</v>
      </c>
      <c r="E34" s="6">
        <f>SUM(E32:E33)</f>
        <v>8842.5</v>
      </c>
      <c r="F34" s="363">
        <f>SUM(F32:F33)</f>
        <v>19977.5</v>
      </c>
      <c r="G34" s="6">
        <f>SUM(G32:G33)</f>
        <v>15936.3</v>
      </c>
      <c r="H34" s="6">
        <f t="shared" si="6"/>
        <v>1316</v>
      </c>
      <c r="I34" s="6">
        <f t="shared" si="6"/>
        <v>36203</v>
      </c>
      <c r="J34" s="6">
        <f>SUM(J32:J33)</f>
        <v>91540</v>
      </c>
      <c r="K34" s="6">
        <f>SUM(K32:K33)</f>
        <v>22546.089999999997</v>
      </c>
      <c r="L34" s="6">
        <f>SUM(L32:L33)</f>
        <v>7700</v>
      </c>
      <c r="M34" s="363">
        <f t="shared" si="6"/>
        <v>19575.121016554091</v>
      </c>
      <c r="N34" s="197">
        <f>SUM(N32:N33)</f>
        <v>7767.7016033889695</v>
      </c>
      <c r="O34" s="6">
        <f>SUM(O32:O33)</f>
        <v>0</v>
      </c>
      <c r="P34" s="6">
        <f t="shared" si="6"/>
        <v>14460</v>
      </c>
      <c r="Q34" s="6">
        <f t="shared" si="6"/>
        <v>486630</v>
      </c>
      <c r="R34" s="6">
        <f t="shared" si="6"/>
        <v>450</v>
      </c>
      <c r="S34" s="6">
        <f t="shared" si="6"/>
        <v>1002623.592619943</v>
      </c>
      <c r="T34" s="397"/>
    </row>
    <row r="35" spans="1:20" x14ac:dyDescent="0.2">
      <c r="N35" s="198"/>
      <c r="S35" s="184"/>
      <c r="T35" s="397"/>
    </row>
    <row r="36" spans="1:20" s="380" customFormat="1" x14ac:dyDescent="0.2">
      <c r="A36" s="375" t="s">
        <v>50</v>
      </c>
      <c r="B36" s="375">
        <f>'5-Enrollment Projection'!E36</f>
        <v>145</v>
      </c>
      <c r="C36" s="376">
        <f>SUM(B36*D$58)</f>
        <v>37120</v>
      </c>
      <c r="D36" s="377">
        <f>'7-Nurse'!E34</f>
        <v>272.44</v>
      </c>
      <c r="E36" s="377">
        <f>'8-Capital Equip-Schools'!F34</f>
        <v>978.75</v>
      </c>
      <c r="F36" s="377">
        <f>'9-Lib-Media'!D34</f>
        <v>3103</v>
      </c>
      <c r="G36" s="377">
        <f>'10-Admin'!D34</f>
        <v>4230</v>
      </c>
      <c r="H36" s="377">
        <f>'11-School Improvment'!C33</f>
        <v>461</v>
      </c>
      <c r="I36" s="377">
        <f>'12-Misc School Allocations'!E23</f>
        <v>11195</v>
      </c>
      <c r="J36" s="378" t="s">
        <v>31</v>
      </c>
      <c r="K36" s="377">
        <f>'13-Custodial'!H34</f>
        <v>2066.4899999999998</v>
      </c>
      <c r="L36" s="377">
        <f>'14-Special Prog'!S33</f>
        <v>400</v>
      </c>
      <c r="M36" s="379">
        <f>'15-Prof''l Dev-Certified'!C36</f>
        <v>3961.1596385919624</v>
      </c>
      <c r="N36" s="376">
        <f>'16-Prof''l Dev-ESP'!C37</f>
        <v>855.23662556561646</v>
      </c>
      <c r="O36" s="693">
        <f>'Mileage-Schools'!I34</f>
        <v>0</v>
      </c>
      <c r="P36" s="692">
        <f>Telephone!E35</f>
        <v>3010</v>
      </c>
      <c r="Q36" s="692">
        <f>Utilities!C36</f>
        <v>58120</v>
      </c>
      <c r="R36" s="692">
        <v>225</v>
      </c>
      <c r="S36" s="572">
        <f>SUM(C36:R36)</f>
        <v>125998.07626415757</v>
      </c>
      <c r="T36" s="375"/>
    </row>
    <row r="37" spans="1:20" s="380" customFormat="1" x14ac:dyDescent="0.2">
      <c r="A37" s="375" t="s">
        <v>51</v>
      </c>
      <c r="B37" s="375">
        <f>'5-Enrollment Projection'!E37</f>
        <v>1057</v>
      </c>
      <c r="C37" s="376">
        <f>SUM(B37*D$57)</f>
        <v>250509</v>
      </c>
      <c r="D37" s="377">
        <f>'7-Nurse'!E35</f>
        <v>1560.79</v>
      </c>
      <c r="E37" s="377">
        <f>'8-Capital Equip-Schools'!F35</f>
        <v>7134.75</v>
      </c>
      <c r="F37" s="377">
        <f>'9-Lib-Media'!D35</f>
        <v>16119.25</v>
      </c>
      <c r="G37" s="377">
        <f>'10-Admin'!D35</f>
        <v>11678.61</v>
      </c>
      <c r="H37" s="377">
        <f>'11-School Improvment'!C34</f>
        <v>658</v>
      </c>
      <c r="I37" s="377">
        <f>'12-Misc School Allocations'!E30</f>
        <v>37806</v>
      </c>
      <c r="J37" s="377">
        <v>236727.8</v>
      </c>
      <c r="K37" s="377">
        <f>'13-Custodial'!H35</f>
        <v>21911.850000000002</v>
      </c>
      <c r="L37" s="377">
        <f>'14-Special Prog'!S34</f>
        <v>6500</v>
      </c>
      <c r="M37" s="379">
        <f>'15-Prof''l Dev-Certified'!C37</f>
        <v>15260.736951590872</v>
      </c>
      <c r="N37" s="376">
        <f>'16-Prof''l Dev-ESP'!C38</f>
        <v>6256.9829207464891</v>
      </c>
      <c r="O37" s="693">
        <f>'Mileage-Schools'!I35</f>
        <v>154</v>
      </c>
      <c r="P37" s="692">
        <f>Telephone!E36+Telephone!E37</f>
        <v>15872</v>
      </c>
      <c r="Q37" s="692">
        <f>Utilities!C37</f>
        <v>420520</v>
      </c>
      <c r="R37" s="692">
        <v>225</v>
      </c>
      <c r="S37" s="572">
        <f>SUM(C37:R37)</f>
        <v>1048894.7698723371</v>
      </c>
      <c r="T37" s="375"/>
    </row>
    <row r="38" spans="1:20" s="380" customFormat="1" x14ac:dyDescent="0.2">
      <c r="A38" s="375" t="s">
        <v>871</v>
      </c>
      <c r="B38" s="383">
        <f>'5-Enrollment Projection'!E38</f>
        <v>1135</v>
      </c>
      <c r="C38" s="384">
        <f>SUM(B38*D$57)</f>
        <v>268995</v>
      </c>
      <c r="D38" s="377">
        <f>'7-Nurse'!E36</f>
        <v>1627.87</v>
      </c>
      <c r="E38" s="378">
        <f>'8-Capital Equip-Schools'!F36</f>
        <v>7661.25</v>
      </c>
      <c r="F38" s="378">
        <f>'9-Lib-Media'!D36</f>
        <v>17308.75</v>
      </c>
      <c r="G38" s="378">
        <f>'10-Admin'!D36</f>
        <v>12398.55</v>
      </c>
      <c r="H38" s="378">
        <f>'11-School Improvment'!C35</f>
        <v>658</v>
      </c>
      <c r="I38" s="378">
        <f>'12-Misc School Allocations'!E43</f>
        <v>39792</v>
      </c>
      <c r="J38" s="378">
        <v>236727.8</v>
      </c>
      <c r="K38" s="377">
        <f>'13-Custodial'!H36</f>
        <v>21723.260000000002</v>
      </c>
      <c r="L38" s="378">
        <f>'14-Special Prog'!S35</f>
        <v>4400</v>
      </c>
      <c r="M38" s="560">
        <f>'15-Prof''l Dev-Certified'!C38</f>
        <v>14759.734959084701</v>
      </c>
      <c r="N38" s="376">
        <f>'16-Prof''l Dev-ESP'!C39</f>
        <v>5667.2882964054415</v>
      </c>
      <c r="O38" s="693">
        <f>'Mileage-Schools'!I36</f>
        <v>0</v>
      </c>
      <c r="P38" s="692">
        <f>Telephone!E38+Telephone!E39</f>
        <v>15872</v>
      </c>
      <c r="Q38" s="692">
        <f>Utilities!C38</f>
        <v>462550</v>
      </c>
      <c r="R38" s="692">
        <v>225</v>
      </c>
      <c r="S38" s="572">
        <f>SUM(C38:R38)</f>
        <v>1110366.5032554902</v>
      </c>
      <c r="T38" s="375"/>
    </row>
    <row r="39" spans="1:20" s="380" customFormat="1" x14ac:dyDescent="0.2">
      <c r="A39" s="375" t="s">
        <v>52</v>
      </c>
      <c r="B39" s="375">
        <f>'5-Enrollment Projection'!E39</f>
        <v>192</v>
      </c>
      <c r="C39" s="376">
        <f>SUM(B39*D$59)</f>
        <v>54144</v>
      </c>
      <c r="D39" s="377">
        <f>'7-Nurse'!E37</f>
        <v>375.20000000000005</v>
      </c>
      <c r="E39" s="377">
        <f>'8-Capital Equip-Schools'!F37</f>
        <v>1296</v>
      </c>
      <c r="F39" s="377">
        <f>'9-Lib-Media'!D37</f>
        <v>4108.8</v>
      </c>
      <c r="G39" s="377">
        <f>'10-Admin'!D37</f>
        <v>4230</v>
      </c>
      <c r="H39" s="377">
        <f>'11-School Improvment'!C36</f>
        <v>461</v>
      </c>
      <c r="I39" s="377">
        <f>'12-Misc School Allocations'!E36</f>
        <v>11083</v>
      </c>
      <c r="J39" s="377">
        <v>72200</v>
      </c>
      <c r="K39" s="377">
        <f>'13-Custodial'!H37</f>
        <v>5681.4000000000005</v>
      </c>
      <c r="L39" s="377">
        <f>'14-Special Prog'!S36</f>
        <v>800</v>
      </c>
      <c r="M39" s="379">
        <f>'15-Prof''l Dev-Certified'!C39</f>
        <v>4069.2895650321429</v>
      </c>
      <c r="N39" s="376">
        <f>'16-Prof''l Dev-ESP'!C40</f>
        <v>1708.0809808499305</v>
      </c>
      <c r="O39" s="693">
        <f>'Mileage-Schools'!I37</f>
        <v>170</v>
      </c>
      <c r="P39" s="692">
        <f>Telephone!E40</f>
        <v>4765</v>
      </c>
      <c r="Q39" s="692">
        <f>Utilities!C39</f>
        <v>175460</v>
      </c>
      <c r="R39" s="692">
        <v>225</v>
      </c>
      <c r="S39" s="572">
        <f>SUM(C39:R39)</f>
        <v>340776.77054588206</v>
      </c>
      <c r="T39" s="375"/>
    </row>
    <row r="40" spans="1:20" x14ac:dyDescent="0.2">
      <c r="A40" s="5" t="s">
        <v>53</v>
      </c>
      <c r="B40" s="5">
        <f t="shared" ref="B40:M40" si="7">SUM(B36:B39)</f>
        <v>2529</v>
      </c>
      <c r="C40" s="53">
        <f t="shared" si="7"/>
        <v>610768</v>
      </c>
      <c r="D40" s="480">
        <f>SUM(D36:D39)</f>
        <v>3836.3</v>
      </c>
      <c r="E40" s="6">
        <f>SUM(E36:E39)</f>
        <v>17070.75</v>
      </c>
      <c r="F40" s="6">
        <f>SUM(F36:F39)</f>
        <v>40639.800000000003</v>
      </c>
      <c r="G40" s="6">
        <f>SUM(G36:G39)</f>
        <v>32537.16</v>
      </c>
      <c r="H40" s="6">
        <f t="shared" si="7"/>
        <v>2238</v>
      </c>
      <c r="I40" s="6">
        <f t="shared" si="7"/>
        <v>99876</v>
      </c>
      <c r="J40" s="6">
        <f>SUM(J36:J39)</f>
        <v>545655.6</v>
      </c>
      <c r="K40" s="6">
        <f>SUM(K36:K39)</f>
        <v>51383.000000000007</v>
      </c>
      <c r="L40" s="6">
        <f>SUM(L36:L39)</f>
        <v>12100</v>
      </c>
      <c r="M40" s="363">
        <f t="shared" si="7"/>
        <v>38050.921114299679</v>
      </c>
      <c r="N40" s="197">
        <f>SUM(N36:N39)</f>
        <v>14487.588823567477</v>
      </c>
      <c r="O40" s="6">
        <f>SUM(O36:O39)</f>
        <v>324</v>
      </c>
      <c r="P40" s="6">
        <f>SUM(P36:P39)</f>
        <v>39519</v>
      </c>
      <c r="Q40" s="6">
        <f>SUM(Q36:Q39)</f>
        <v>1116650</v>
      </c>
      <c r="R40" s="6">
        <f t="shared" ref="R40:S40" si="8">SUM(R36:R39)</f>
        <v>900</v>
      </c>
      <c r="S40" s="6">
        <f t="shared" si="8"/>
        <v>2626036.1199378669</v>
      </c>
    </row>
    <row r="41" spans="1:20" x14ac:dyDescent="0.2">
      <c r="N41" s="198"/>
    </row>
    <row r="42" spans="1:20" x14ac:dyDescent="0.2">
      <c r="A42" s="7" t="s">
        <v>54</v>
      </c>
      <c r="B42" s="7">
        <f t="shared" ref="B42:S42" si="9">SUM(B13+B30+B34+B40)</f>
        <v>8771</v>
      </c>
      <c r="C42" s="54">
        <f t="shared" si="9"/>
        <v>1659823.35</v>
      </c>
      <c r="D42" s="481">
        <f>SUM(D13+D30+D34+D40)</f>
        <v>14701.8</v>
      </c>
      <c r="E42" s="8">
        <f>SUM(E13+E30+E34+E40)</f>
        <v>42532.9</v>
      </c>
      <c r="F42" s="8">
        <f>SUM(F13+F30+F34+F40)</f>
        <v>127106.40000000001</v>
      </c>
      <c r="G42" s="8">
        <f>SUM(G13+G30+G34+G40)</f>
        <v>112462.86</v>
      </c>
      <c r="H42" s="8">
        <f t="shared" si="9"/>
        <v>14147</v>
      </c>
      <c r="I42" s="8">
        <f t="shared" si="9"/>
        <v>249329</v>
      </c>
      <c r="J42" s="8">
        <f>SUM(J13+J30+J34+J40)</f>
        <v>637195.6</v>
      </c>
      <c r="K42" s="8">
        <f>SUM(K13+K30+K34+K40)</f>
        <v>135123.35999999999</v>
      </c>
      <c r="L42" s="481">
        <f>SUM(L13+L30+L34+L40)</f>
        <v>49150</v>
      </c>
      <c r="M42" s="364">
        <f t="shared" si="9"/>
        <v>148428</v>
      </c>
      <c r="N42" s="199">
        <f t="shared" si="9"/>
        <v>60071.999999999993</v>
      </c>
      <c r="O42" s="8">
        <f>SUM(O13+O30+O34+O40)</f>
        <v>6469</v>
      </c>
      <c r="P42" s="8">
        <f t="shared" si="9"/>
        <v>97704</v>
      </c>
      <c r="Q42" s="8">
        <f t="shared" si="9"/>
        <v>2869960</v>
      </c>
      <c r="R42" s="8">
        <f t="shared" si="9"/>
        <v>5175</v>
      </c>
      <c r="S42" s="311">
        <f t="shared" si="9"/>
        <v>6229380.2699999996</v>
      </c>
    </row>
    <row r="43" spans="1:20" s="175" customFormat="1" x14ac:dyDescent="0.2">
      <c r="C43" s="183"/>
      <c r="D43" s="184"/>
      <c r="E43" s="184"/>
      <c r="F43" s="184"/>
      <c r="G43" s="184"/>
      <c r="H43" s="184"/>
      <c r="I43" s="350"/>
      <c r="J43" s="184"/>
      <c r="K43" s="184"/>
      <c r="L43" s="184"/>
      <c r="M43" s="184"/>
      <c r="N43" s="196"/>
      <c r="O43" s="184"/>
      <c r="P43" s="184"/>
      <c r="Q43" s="184"/>
      <c r="R43" s="184"/>
      <c r="S43" s="312"/>
    </row>
    <row r="44" spans="1:20" s="175" customFormat="1" x14ac:dyDescent="0.2">
      <c r="C44" s="183"/>
      <c r="D44" s="184"/>
      <c r="E44" s="184"/>
      <c r="F44" s="184"/>
      <c r="G44" s="184"/>
      <c r="H44" s="184"/>
      <c r="I44" s="350"/>
      <c r="J44" s="184"/>
      <c r="K44" s="184"/>
      <c r="L44" s="184"/>
      <c r="M44" s="184"/>
      <c r="N44" s="196"/>
      <c r="O44" s="184"/>
      <c r="P44" s="184"/>
      <c r="Q44" s="184"/>
      <c r="R44" s="184"/>
      <c r="S44" s="312"/>
      <c r="T44" s="416"/>
    </row>
    <row r="45" spans="1:20" s="175" customFormat="1" x14ac:dyDescent="0.2">
      <c r="A45" s="351" t="s">
        <v>334</v>
      </c>
      <c r="B45" s="352">
        <f>B42</f>
        <v>8771</v>
      </c>
      <c r="C45" s="353">
        <f t="shared" ref="C45:R45" si="10">SUM(C42:C44)</f>
        <v>1659823.35</v>
      </c>
      <c r="D45" s="353">
        <f t="shared" si="10"/>
        <v>14701.8</v>
      </c>
      <c r="E45" s="353">
        <f t="shared" si="10"/>
        <v>42532.9</v>
      </c>
      <c r="F45" s="353">
        <f t="shared" si="10"/>
        <v>127106.40000000001</v>
      </c>
      <c r="G45" s="353">
        <f t="shared" si="10"/>
        <v>112462.86</v>
      </c>
      <c r="H45" s="353">
        <f t="shared" si="10"/>
        <v>14147</v>
      </c>
      <c r="I45" s="353">
        <f t="shared" si="10"/>
        <v>249329</v>
      </c>
      <c r="J45" s="353">
        <f t="shared" si="10"/>
        <v>637195.6</v>
      </c>
      <c r="K45" s="353">
        <f t="shared" si="10"/>
        <v>135123.35999999999</v>
      </c>
      <c r="L45" s="353">
        <f t="shared" si="10"/>
        <v>49150</v>
      </c>
      <c r="M45" s="353">
        <f t="shared" si="10"/>
        <v>148428</v>
      </c>
      <c r="N45" s="353">
        <f t="shared" si="10"/>
        <v>60071.999999999993</v>
      </c>
      <c r="O45" s="353">
        <f t="shared" si="10"/>
        <v>6469</v>
      </c>
      <c r="P45" s="353">
        <f t="shared" si="10"/>
        <v>97704</v>
      </c>
      <c r="Q45" s="353">
        <f t="shared" si="10"/>
        <v>2869960</v>
      </c>
      <c r="R45" s="353">
        <f t="shared" si="10"/>
        <v>5175</v>
      </c>
      <c r="S45" s="354">
        <f>SUM(C45:R45)</f>
        <v>6229380.2699999996</v>
      </c>
    </row>
    <row r="47" spans="1:20" s="395" customFormat="1" x14ac:dyDescent="0.2">
      <c r="A47" s="387" t="s">
        <v>1172</v>
      </c>
      <c r="C47" s="38"/>
      <c r="D47" s="184"/>
      <c r="E47" s="1"/>
      <c r="F47" s="1"/>
      <c r="G47" s="1"/>
      <c r="H47" s="1"/>
      <c r="I47" s="1"/>
      <c r="J47" s="1"/>
      <c r="K47" s="1"/>
      <c r="L47" s="1"/>
      <c r="M47" s="1"/>
      <c r="N47" s="38"/>
      <c r="O47" s="1"/>
      <c r="P47" s="1"/>
      <c r="Q47" s="1"/>
      <c r="R47" s="1"/>
      <c r="S47" s="1"/>
    </row>
    <row r="48" spans="1:20" s="395" customFormat="1" x14ac:dyDescent="0.2">
      <c r="A48" s="387"/>
      <c r="C48" s="38"/>
      <c r="D48" s="184"/>
      <c r="E48" s="1"/>
      <c r="F48" s="1"/>
      <c r="G48" s="1"/>
      <c r="H48" s="1"/>
      <c r="I48" s="1"/>
      <c r="J48" s="1"/>
      <c r="K48" s="1"/>
      <c r="L48" s="1"/>
      <c r="M48" s="1"/>
      <c r="N48" s="38"/>
      <c r="O48" s="1"/>
      <c r="P48" s="1"/>
      <c r="Q48" s="1"/>
      <c r="R48" s="1"/>
      <c r="S48" s="1"/>
    </row>
    <row r="49" spans="1:24" ht="15" x14ac:dyDescent="0.35">
      <c r="A49" s="880" t="s">
        <v>852</v>
      </c>
      <c r="B49" s="881"/>
      <c r="C49" s="881"/>
      <c r="D49" s="589"/>
      <c r="E49" s="817"/>
      <c r="F49" s="818"/>
      <c r="J49" s="105"/>
      <c r="M49" s="184"/>
      <c r="N49" s="1"/>
      <c r="S49" s="38"/>
      <c r="T49" s="1"/>
    </row>
    <row r="50" spans="1:24" s="395" customFormat="1" ht="15" x14ac:dyDescent="0.35">
      <c r="A50" s="588"/>
      <c r="B50" s="682"/>
      <c r="C50" s="684" t="s">
        <v>1156</v>
      </c>
      <c r="D50" s="813" t="s">
        <v>1199</v>
      </c>
      <c r="E50" s="819"/>
      <c r="F50" s="820"/>
      <c r="G50" s="1"/>
      <c r="K50" s="1"/>
      <c r="M50" s="105"/>
      <c r="N50" s="1"/>
      <c r="O50" s="682"/>
      <c r="P50" s="1"/>
      <c r="Q50" s="184"/>
      <c r="R50" s="1"/>
      <c r="S50" s="1"/>
      <c r="T50" s="1"/>
      <c r="U50" s="1"/>
      <c r="V50" s="1"/>
      <c r="W50" s="38"/>
      <c r="X50" s="1"/>
    </row>
    <row r="51" spans="1:24" x14ac:dyDescent="0.2">
      <c r="A51" s="47" t="s">
        <v>853</v>
      </c>
      <c r="B51" s="48"/>
      <c r="C51" s="60">
        <v>193</v>
      </c>
      <c r="D51" s="814">
        <v>193</v>
      </c>
      <c r="E51" s="67"/>
      <c r="F51" s="60"/>
      <c r="N51" s="1"/>
      <c r="O51" s="60"/>
      <c r="Q51" s="184"/>
      <c r="T51" s="1"/>
      <c r="U51" s="1"/>
      <c r="V51" s="1"/>
      <c r="W51" s="38"/>
      <c r="X51" s="1"/>
    </row>
    <row r="52" spans="1:24" x14ac:dyDescent="0.2">
      <c r="A52" s="47" t="s">
        <v>137</v>
      </c>
      <c r="B52" s="48"/>
      <c r="C52" s="200"/>
      <c r="D52" s="815"/>
      <c r="E52" s="821"/>
      <c r="F52" s="60"/>
      <c r="N52" s="1"/>
      <c r="O52" s="60"/>
      <c r="Q52" s="184"/>
      <c r="T52" s="1"/>
      <c r="U52" s="1"/>
      <c r="V52" s="1"/>
      <c r="W52" s="38"/>
      <c r="X52" s="1"/>
    </row>
    <row r="53" spans="1:24" x14ac:dyDescent="0.2">
      <c r="A53" s="304" t="s">
        <v>751</v>
      </c>
      <c r="B53" s="48"/>
      <c r="C53" s="200">
        <v>159</v>
      </c>
      <c r="D53" s="814">
        <v>159</v>
      </c>
      <c r="E53" s="821"/>
      <c r="F53" s="60"/>
      <c r="N53" s="1"/>
      <c r="O53" s="60"/>
      <c r="Q53" s="184"/>
      <c r="T53" s="1"/>
      <c r="U53" s="1"/>
      <c r="V53" s="1"/>
      <c r="W53" s="38"/>
      <c r="X53" s="1"/>
    </row>
    <row r="54" spans="1:24" x14ac:dyDescent="0.2">
      <c r="A54" s="47" t="s">
        <v>141</v>
      </c>
      <c r="B54" s="48"/>
      <c r="C54" s="200">
        <v>154</v>
      </c>
      <c r="D54" s="814">
        <v>154</v>
      </c>
      <c r="E54" s="821"/>
      <c r="F54" s="60"/>
      <c r="N54" s="1"/>
      <c r="O54" s="60"/>
      <c r="Q54" s="184"/>
      <c r="T54" s="1"/>
      <c r="U54" s="1"/>
      <c r="V54" s="1"/>
      <c r="W54" s="38"/>
      <c r="X54" s="1"/>
    </row>
    <row r="55" spans="1:24" x14ac:dyDescent="0.2">
      <c r="A55" s="47" t="s">
        <v>850</v>
      </c>
      <c r="B55" s="48"/>
      <c r="C55" s="200">
        <v>204</v>
      </c>
      <c r="D55" s="814">
        <v>204</v>
      </c>
      <c r="E55" s="821"/>
      <c r="F55" s="182"/>
      <c r="N55" s="1"/>
      <c r="O55" s="60"/>
      <c r="Q55" s="184"/>
      <c r="T55" s="1"/>
      <c r="U55" s="1"/>
      <c r="V55" s="1"/>
      <c r="W55" s="38"/>
      <c r="X55" s="1"/>
    </row>
    <row r="56" spans="1:24" x14ac:dyDescent="0.2">
      <c r="A56" s="47" t="s">
        <v>138</v>
      </c>
      <c r="B56" s="48"/>
      <c r="C56" s="200"/>
      <c r="D56" s="815"/>
      <c r="E56" s="821"/>
      <c r="F56" s="60"/>
      <c r="N56" s="1"/>
      <c r="O56" s="60"/>
      <c r="Q56" s="184"/>
      <c r="T56" s="1"/>
      <c r="U56" s="1"/>
      <c r="V56" s="1"/>
      <c r="W56" s="38"/>
      <c r="X56" s="1"/>
    </row>
    <row r="57" spans="1:24" x14ac:dyDescent="0.2">
      <c r="A57" s="47" t="s">
        <v>943</v>
      </c>
      <c r="B57" s="48"/>
      <c r="C57" s="200">
        <v>237</v>
      </c>
      <c r="D57" s="814">
        <v>237</v>
      </c>
      <c r="E57" s="821"/>
      <c r="F57" s="182"/>
      <c r="N57" s="1"/>
      <c r="O57" s="60"/>
      <c r="Q57" s="184"/>
      <c r="T57" s="1"/>
      <c r="U57" s="1"/>
      <c r="V57" s="1"/>
      <c r="W57" s="38"/>
      <c r="X57" s="1"/>
    </row>
    <row r="58" spans="1:24" x14ac:dyDescent="0.2">
      <c r="A58" s="47" t="s">
        <v>286</v>
      </c>
      <c r="B58" s="48"/>
      <c r="C58" s="200">
        <v>256</v>
      </c>
      <c r="D58" s="814">
        <v>256</v>
      </c>
      <c r="E58" s="821"/>
      <c r="F58" s="182"/>
      <c r="N58" s="1"/>
      <c r="O58" s="60"/>
      <c r="Q58" s="184"/>
      <c r="T58" s="1"/>
      <c r="U58" s="1"/>
      <c r="V58" s="1"/>
      <c r="W58" s="38"/>
      <c r="X58" s="1"/>
    </row>
    <row r="59" spans="1:24" x14ac:dyDescent="0.2">
      <c r="A59" s="49" t="s">
        <v>139</v>
      </c>
      <c r="B59" s="50"/>
      <c r="C59" s="587">
        <v>282</v>
      </c>
      <c r="D59" s="816">
        <v>282</v>
      </c>
      <c r="E59" s="821"/>
      <c r="F59" s="60"/>
      <c r="N59" s="1"/>
      <c r="O59" s="60"/>
      <c r="Q59" s="184"/>
      <c r="T59" s="1"/>
      <c r="U59" s="1"/>
      <c r="V59" s="1"/>
      <c r="W59" s="38"/>
      <c r="X59" s="1"/>
    </row>
  </sheetData>
  <mergeCells count="1">
    <mergeCell ref="A49:C49"/>
  </mergeCells>
  <phoneticPr fontId="0" type="noConversion"/>
  <printOptions horizontalCentered="1"/>
  <pageMargins left="0.23" right="0.25" top="0.6" bottom="0.48" header="0.5" footer="0.2"/>
  <pageSetup paperSize="5" scale="58" firstPageNumber="10" orientation="landscape" useFirstPageNumber="1" r:id="rId1"/>
  <headerFooter alignWithMargins="0">
    <oddFooter>&amp;L&amp;Z&amp;F &amp;A&amp;R&amp;D &amp;T</oddFooter>
  </headerFooter>
  <ignoredErrors>
    <ignoredError sqref="H7 M7 N7 D7"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4"/>
  <sheetViews>
    <sheetView topLeftCell="A13" workbookViewId="0">
      <selection activeCell="B45" sqref="B45"/>
    </sheetView>
  </sheetViews>
  <sheetFormatPr defaultRowHeight="12.75" x14ac:dyDescent="0.2"/>
  <cols>
    <col min="1" max="1" width="24" customWidth="1"/>
    <col min="2" max="2" width="11.28515625" customWidth="1"/>
    <col min="3" max="3" width="19.28515625" style="2" bestFit="1" customWidth="1"/>
    <col min="4" max="4" width="20.42578125" style="15" bestFit="1" customWidth="1"/>
    <col min="5" max="5" width="15" style="15" customWidth="1"/>
  </cols>
  <sheetData>
    <row r="1" spans="1:5" ht="18" x14ac:dyDescent="0.25">
      <c r="A1" s="878" t="s">
        <v>1315</v>
      </c>
      <c r="B1" s="878"/>
      <c r="C1" s="878"/>
      <c r="D1" s="878"/>
      <c r="E1" s="878"/>
    </row>
    <row r="2" spans="1:5" x14ac:dyDescent="0.2">
      <c r="A2" s="882" t="s">
        <v>656</v>
      </c>
      <c r="B2" s="882"/>
      <c r="C2" s="882"/>
      <c r="D2" s="882"/>
      <c r="E2" s="882"/>
    </row>
    <row r="3" spans="1:5" x14ac:dyDescent="0.2">
      <c r="A3" s="340"/>
      <c r="B3" s="340"/>
      <c r="C3" s="340"/>
      <c r="D3" s="340"/>
      <c r="E3" s="340"/>
    </row>
    <row r="4" spans="1:5" x14ac:dyDescent="0.2">
      <c r="A4" s="229" t="s">
        <v>399</v>
      </c>
      <c r="B4" s="229"/>
      <c r="C4" s="231"/>
      <c r="D4" s="231"/>
      <c r="E4" s="231"/>
    </row>
    <row r="5" spans="1:5" x14ac:dyDescent="0.2">
      <c r="A5" s="230" t="s">
        <v>1158</v>
      </c>
      <c r="B5" s="230"/>
      <c r="C5" s="232"/>
      <c r="D5" s="232"/>
      <c r="E5" s="232"/>
    </row>
    <row r="7" spans="1:5" x14ac:dyDescent="0.2">
      <c r="A7" s="339" t="s">
        <v>9</v>
      </c>
      <c r="B7" s="277" t="s">
        <v>61</v>
      </c>
      <c r="C7" s="277" t="s">
        <v>880</v>
      </c>
      <c r="D7" s="345" t="s">
        <v>658</v>
      </c>
      <c r="E7" s="152" t="s">
        <v>98</v>
      </c>
    </row>
    <row r="8" spans="1:5" x14ac:dyDescent="0.2">
      <c r="A8" s="51"/>
      <c r="B8" s="51"/>
      <c r="C8" s="295" t="s">
        <v>657</v>
      </c>
      <c r="D8" s="346" t="s">
        <v>659</v>
      </c>
      <c r="E8" s="153" t="s">
        <v>99</v>
      </c>
    </row>
    <row r="9" spans="1:5" x14ac:dyDescent="0.2">
      <c r="A9" t="s">
        <v>30</v>
      </c>
      <c r="B9" s="347">
        <f>'5-Enrollment Projection'!E8</f>
        <v>36</v>
      </c>
      <c r="C9" s="342">
        <f>(B9*$B$50)+$B$44</f>
        <v>67.900000000000006</v>
      </c>
      <c r="D9" s="342">
        <f>$E$44</f>
        <v>41.55</v>
      </c>
      <c r="E9" s="342">
        <f>SUM(C9:D9)</f>
        <v>109.45</v>
      </c>
    </row>
    <row r="10" spans="1:5" x14ac:dyDescent="0.2">
      <c r="A10" t="s">
        <v>32</v>
      </c>
      <c r="B10" s="347">
        <f>'5-Enrollment Projection'!E9</f>
        <v>25</v>
      </c>
      <c r="C10" s="342">
        <f t="shared" ref="C10:C11" si="0">(B10*$B$50)+$B$44</f>
        <v>58.44</v>
      </c>
      <c r="D10" s="342">
        <f>$E$44</f>
        <v>41.55</v>
      </c>
      <c r="E10" s="342">
        <f>SUM(C10:D10)</f>
        <v>99.99</v>
      </c>
    </row>
    <row r="11" spans="1:5" x14ac:dyDescent="0.2">
      <c r="A11" t="s">
        <v>33</v>
      </c>
      <c r="B11" s="347">
        <f>'5-Enrollment Projection'!E10</f>
        <v>16</v>
      </c>
      <c r="C11" s="342">
        <f t="shared" si="0"/>
        <v>50.699999999999996</v>
      </c>
      <c r="D11" s="342">
        <f>$E$44</f>
        <v>41.55</v>
      </c>
      <c r="E11" s="342">
        <f>SUM(C11:D11)</f>
        <v>92.25</v>
      </c>
    </row>
    <row r="12" spans="1:5" x14ac:dyDescent="0.2">
      <c r="A12" s="16" t="s">
        <v>34</v>
      </c>
      <c r="B12" s="348">
        <f>SUM(B9:B11)</f>
        <v>77</v>
      </c>
      <c r="C12" s="343">
        <f>SUM(C9:C11)</f>
        <v>177.04</v>
      </c>
      <c r="D12" s="343">
        <f>SUM(D9:D11)</f>
        <v>124.64999999999999</v>
      </c>
      <c r="E12" s="600">
        <f>SUM(E9:E11)</f>
        <v>301.69</v>
      </c>
    </row>
    <row r="13" spans="1:5" x14ac:dyDescent="0.2">
      <c r="B13" s="347"/>
      <c r="C13" s="342"/>
      <c r="D13" s="341"/>
    </row>
    <row r="14" spans="1:5" s="356" customFormat="1" x14ac:dyDescent="0.2">
      <c r="A14" s="356" t="s">
        <v>693</v>
      </c>
      <c r="B14" s="347">
        <f>'5-Enrollment Projection'!E14</f>
        <v>417</v>
      </c>
      <c r="C14" s="342">
        <f>(B14*$B$50)+$B$45</f>
        <v>468.28</v>
      </c>
      <c r="D14" s="342">
        <f>IF(B14&lt;300,$E$45,IF(AND(B14&gt;300,B14&lt;376),$E$46,IF(AND(B14&gt;375,B14&lt;451),$E$47,IF(B14&gt;450,$E$48))))</f>
        <v>210.84</v>
      </c>
      <c r="E14" s="342">
        <f t="shared" ref="E14:E27" si="1">SUM(C14:D14)</f>
        <v>679.12</v>
      </c>
    </row>
    <row r="15" spans="1:5" x14ac:dyDescent="0.2">
      <c r="A15" t="s">
        <v>35</v>
      </c>
      <c r="B15" s="347">
        <f>'5-Enrollment Projection'!E15</f>
        <v>372</v>
      </c>
      <c r="C15" s="342">
        <f t="shared" ref="C15:C27" si="2">(B15*$B$50)+$B$45</f>
        <v>429.58000000000004</v>
      </c>
      <c r="D15" s="342">
        <f t="shared" ref="D15:D27" si="3">IF(B15&lt;300,$E$45,IF(AND(B15&gt;300,B15&lt;376),$E$46,IF(AND(B15&gt;375,B15&lt;451),$E$47,IF(B15&gt;450,$E$48))))</f>
        <v>166.21</v>
      </c>
      <c r="E15" s="342">
        <f t="shared" si="1"/>
        <v>595.79000000000008</v>
      </c>
    </row>
    <row r="16" spans="1:5" x14ac:dyDescent="0.2">
      <c r="A16" t="s">
        <v>36</v>
      </c>
      <c r="B16" s="347">
        <f>'5-Enrollment Projection'!E16</f>
        <v>209</v>
      </c>
      <c r="C16" s="342">
        <f t="shared" si="2"/>
        <v>289.39999999999998</v>
      </c>
      <c r="D16" s="342">
        <f t="shared" si="3"/>
        <v>120.81</v>
      </c>
      <c r="E16" s="342">
        <f t="shared" si="1"/>
        <v>410.21</v>
      </c>
    </row>
    <row r="17" spans="1:5" x14ac:dyDescent="0.2">
      <c r="A17" t="s">
        <v>37</v>
      </c>
      <c r="B17" s="347">
        <f>'5-Enrollment Projection'!E17</f>
        <v>408</v>
      </c>
      <c r="C17" s="342">
        <f t="shared" si="2"/>
        <v>460.53999999999996</v>
      </c>
      <c r="D17" s="342">
        <f t="shared" si="3"/>
        <v>210.84</v>
      </c>
      <c r="E17" s="342">
        <f t="shared" si="1"/>
        <v>671.38</v>
      </c>
    </row>
    <row r="18" spans="1:5" x14ac:dyDescent="0.2">
      <c r="A18" t="s">
        <v>38</v>
      </c>
      <c r="B18" s="347">
        <f>'5-Enrollment Projection'!E18</f>
        <v>440</v>
      </c>
      <c r="C18" s="342">
        <f t="shared" si="2"/>
        <v>488.05999999999995</v>
      </c>
      <c r="D18" s="342">
        <f t="shared" si="3"/>
        <v>210.84</v>
      </c>
      <c r="E18" s="342">
        <f t="shared" si="1"/>
        <v>698.9</v>
      </c>
    </row>
    <row r="19" spans="1:5" x14ac:dyDescent="0.2">
      <c r="A19" t="s">
        <v>39</v>
      </c>
      <c r="B19" s="347">
        <f>'5-Enrollment Projection'!E19</f>
        <v>259</v>
      </c>
      <c r="C19" s="342">
        <f t="shared" si="2"/>
        <v>332.4</v>
      </c>
      <c r="D19" s="342">
        <f t="shared" si="3"/>
        <v>120.81</v>
      </c>
      <c r="E19" s="342">
        <f t="shared" si="1"/>
        <v>453.21</v>
      </c>
    </row>
    <row r="20" spans="1:5" x14ac:dyDescent="0.2">
      <c r="A20" t="s">
        <v>40</v>
      </c>
      <c r="B20" s="347">
        <f>'5-Enrollment Projection'!E20</f>
        <v>333</v>
      </c>
      <c r="C20" s="342">
        <f t="shared" si="2"/>
        <v>396.03999999999996</v>
      </c>
      <c r="D20" s="342">
        <f t="shared" si="3"/>
        <v>166.21</v>
      </c>
      <c r="E20" s="342">
        <f t="shared" si="1"/>
        <v>562.25</v>
      </c>
    </row>
    <row r="21" spans="1:5" x14ac:dyDescent="0.2">
      <c r="A21" s="357" t="s">
        <v>667</v>
      </c>
      <c r="B21" s="347">
        <f>'5-Enrollment Projection'!E21</f>
        <v>350</v>
      </c>
      <c r="C21" s="342">
        <f t="shared" si="2"/>
        <v>410.65999999999997</v>
      </c>
      <c r="D21" s="342">
        <f t="shared" si="3"/>
        <v>166.21</v>
      </c>
      <c r="E21" s="342">
        <f>SUM(C21:D21)</f>
        <v>576.87</v>
      </c>
    </row>
    <row r="22" spans="1:5" x14ac:dyDescent="0.2">
      <c r="A22" t="s">
        <v>41</v>
      </c>
      <c r="B22" s="347">
        <f>'5-Enrollment Projection'!E22</f>
        <v>410</v>
      </c>
      <c r="C22" s="342">
        <f t="shared" si="2"/>
        <v>462.26</v>
      </c>
      <c r="D22" s="342">
        <f t="shared" si="3"/>
        <v>210.84</v>
      </c>
      <c r="E22" s="342">
        <f t="shared" si="1"/>
        <v>673.1</v>
      </c>
    </row>
    <row r="23" spans="1:5" x14ac:dyDescent="0.2">
      <c r="A23" t="s">
        <v>42</v>
      </c>
      <c r="B23" s="347">
        <f>'5-Enrollment Projection'!E23</f>
        <v>309</v>
      </c>
      <c r="C23" s="342">
        <f t="shared" si="2"/>
        <v>375.4</v>
      </c>
      <c r="D23" s="342">
        <f t="shared" si="3"/>
        <v>166.21</v>
      </c>
      <c r="E23" s="342">
        <f t="shared" si="1"/>
        <v>541.61</v>
      </c>
    </row>
    <row r="24" spans="1:5" x14ac:dyDescent="0.2">
      <c r="A24" t="s">
        <v>43</v>
      </c>
      <c r="B24" s="347">
        <f>'5-Enrollment Projection'!E24</f>
        <v>280</v>
      </c>
      <c r="C24" s="342">
        <f t="shared" si="2"/>
        <v>350.46</v>
      </c>
      <c r="D24" s="342">
        <f t="shared" si="3"/>
        <v>120.81</v>
      </c>
      <c r="E24" s="342">
        <f t="shared" si="1"/>
        <v>471.27</v>
      </c>
    </row>
    <row r="25" spans="1:5" s="395" customFormat="1" x14ac:dyDescent="0.2">
      <c r="A25" s="387" t="s">
        <v>818</v>
      </c>
      <c r="B25" s="347">
        <f>'6-Schools'!B26</f>
        <v>406</v>
      </c>
      <c r="C25" s="342">
        <f t="shared" si="2"/>
        <v>458.81999999999994</v>
      </c>
      <c r="D25" s="342">
        <f t="shared" si="3"/>
        <v>210.84</v>
      </c>
      <c r="E25" s="342">
        <f t="shared" si="1"/>
        <v>669.66</v>
      </c>
    </row>
    <row r="26" spans="1:5" x14ac:dyDescent="0.2">
      <c r="A26" t="s">
        <v>44</v>
      </c>
      <c r="B26" s="347">
        <f>'5-Enrollment Projection'!E26</f>
        <v>348</v>
      </c>
      <c r="C26" s="342">
        <f t="shared" si="2"/>
        <v>408.93999999999994</v>
      </c>
      <c r="D26" s="342">
        <f t="shared" si="3"/>
        <v>166.21</v>
      </c>
      <c r="E26" s="342">
        <f t="shared" si="1"/>
        <v>575.15</v>
      </c>
    </row>
    <row r="27" spans="1:5" x14ac:dyDescent="0.2">
      <c r="A27" t="s">
        <v>45</v>
      </c>
      <c r="B27" s="347">
        <f>'5-Enrollment Projection'!E27</f>
        <v>314</v>
      </c>
      <c r="C27" s="342">
        <f t="shared" si="2"/>
        <v>379.70000000000005</v>
      </c>
      <c r="D27" s="342">
        <f t="shared" si="3"/>
        <v>166.21</v>
      </c>
      <c r="E27" s="342">
        <f t="shared" si="1"/>
        <v>545.91000000000008</v>
      </c>
    </row>
    <row r="28" spans="1:5" x14ac:dyDescent="0.2">
      <c r="A28" s="16" t="s">
        <v>46</v>
      </c>
      <c r="B28" s="348">
        <f>SUM(B14:B27)</f>
        <v>4855</v>
      </c>
      <c r="C28" s="343">
        <f>SUM(C14:C27)</f>
        <v>5710.5399999999981</v>
      </c>
      <c r="D28" s="343">
        <f>SUM(D14:D27)</f>
        <v>2413.8900000000003</v>
      </c>
      <c r="E28" s="600">
        <f>SUM(E14:E27)</f>
        <v>8124.43</v>
      </c>
    </row>
    <row r="29" spans="1:5" x14ac:dyDescent="0.2">
      <c r="B29" s="347"/>
      <c r="C29" s="342"/>
      <c r="D29" s="341"/>
      <c r="E29" s="342"/>
    </row>
    <row r="30" spans="1:5" x14ac:dyDescent="0.2">
      <c r="A30" t="s">
        <v>47</v>
      </c>
      <c r="B30" s="347">
        <f>'5-Enrollment Projection'!E31</f>
        <v>647</v>
      </c>
      <c r="C30" s="342">
        <f>(B30*B50)+B46</f>
        <v>774.18999999999994</v>
      </c>
      <c r="D30" s="604">
        <f>$E$51</f>
        <v>438.62</v>
      </c>
      <c r="E30" s="342">
        <f>SUM(C30:D30)</f>
        <v>1212.81</v>
      </c>
    </row>
    <row r="31" spans="1:5" x14ac:dyDescent="0.2">
      <c r="A31" t="s">
        <v>48</v>
      </c>
      <c r="B31" s="347">
        <f>'5-Enrollment Projection'!E32</f>
        <v>663</v>
      </c>
      <c r="C31" s="342">
        <f>(B31*B50)+B46</f>
        <v>787.94999999999993</v>
      </c>
      <c r="D31" s="604">
        <f>$E$51</f>
        <v>438.62</v>
      </c>
      <c r="E31" s="342">
        <f>SUM(C31:D31)</f>
        <v>1226.57</v>
      </c>
    </row>
    <row r="32" spans="1:5" x14ac:dyDescent="0.2">
      <c r="A32" s="16" t="s">
        <v>49</v>
      </c>
      <c r="B32" s="348">
        <f>SUM(B30:B31)</f>
        <v>1310</v>
      </c>
      <c r="C32" s="343">
        <f>SUM(C30:C31)</f>
        <v>1562.1399999999999</v>
      </c>
      <c r="D32" s="343">
        <f>SUM(D30:D31)</f>
        <v>877.24</v>
      </c>
      <c r="E32" s="600">
        <f>SUM(E30:E31)</f>
        <v>2439.38</v>
      </c>
    </row>
    <row r="33" spans="1:7" x14ac:dyDescent="0.2">
      <c r="B33" s="347"/>
      <c r="C33" s="342"/>
      <c r="D33" s="342"/>
      <c r="E33" s="342"/>
    </row>
    <row r="34" spans="1:7" x14ac:dyDescent="0.2">
      <c r="A34" t="s">
        <v>50</v>
      </c>
      <c r="B34" s="347">
        <f>'5-Enrollment Projection'!E36</f>
        <v>145</v>
      </c>
      <c r="C34" s="342">
        <f>(B34*B50)+B49</f>
        <v>180.1</v>
      </c>
      <c r="D34" s="621">
        <f>$E$52</f>
        <v>92.34</v>
      </c>
      <c r="E34" s="342">
        <f>SUM(C34:D34)</f>
        <v>272.44</v>
      </c>
    </row>
    <row r="35" spans="1:7" x14ac:dyDescent="0.2">
      <c r="A35" s="397" t="s">
        <v>51</v>
      </c>
      <c r="B35" s="491">
        <f>'5-Enrollment Projection'!E37</f>
        <v>1057</v>
      </c>
      <c r="C35" s="492">
        <f>(B35*B50)+B48</f>
        <v>1122.17</v>
      </c>
      <c r="D35" s="683">
        <f>$E$51</f>
        <v>438.62</v>
      </c>
      <c r="E35" s="342">
        <f>SUM(C35:D35)</f>
        <v>1560.79</v>
      </c>
      <c r="G35" s="347"/>
    </row>
    <row r="36" spans="1:7" x14ac:dyDescent="0.2">
      <c r="A36" s="395" t="s">
        <v>871</v>
      </c>
      <c r="B36" s="491">
        <f>'5-Enrollment Projection'!E38</f>
        <v>1135</v>
      </c>
      <c r="C36" s="492">
        <f>(B36*B50)+B48</f>
        <v>1189.25</v>
      </c>
      <c r="D36" s="683">
        <f>$E$51</f>
        <v>438.62</v>
      </c>
      <c r="E36" s="342">
        <f>SUM(C36:D36)</f>
        <v>1627.87</v>
      </c>
    </row>
    <row r="37" spans="1:7" x14ac:dyDescent="0.2">
      <c r="A37" t="s">
        <v>52</v>
      </c>
      <c r="B37" s="347">
        <f>'5-Enrollment Projection'!E39</f>
        <v>192</v>
      </c>
      <c r="C37" s="342">
        <f>(B37*B50)+B47</f>
        <v>228.99</v>
      </c>
      <c r="D37" s="621">
        <f>$E$53</f>
        <v>146.21</v>
      </c>
      <c r="E37" s="342">
        <f>SUM(C37:D37)</f>
        <v>375.20000000000005</v>
      </c>
    </row>
    <row r="38" spans="1:7" x14ac:dyDescent="0.2">
      <c r="A38" s="16" t="s">
        <v>53</v>
      </c>
      <c r="B38" s="348">
        <f>SUM(B34:B37)</f>
        <v>2529</v>
      </c>
      <c r="C38" s="343">
        <f>SUM(C34:C37)</f>
        <v>2720.51</v>
      </c>
      <c r="D38" s="343">
        <f>SUM(D34:D37)</f>
        <v>1115.79</v>
      </c>
      <c r="E38" s="600">
        <f>SUM(E34:E37)</f>
        <v>3836.3</v>
      </c>
    </row>
    <row r="39" spans="1:7" x14ac:dyDescent="0.2">
      <c r="B39" s="347"/>
      <c r="C39" s="342"/>
      <c r="D39" s="342"/>
    </row>
    <row r="40" spans="1:7" x14ac:dyDescent="0.2">
      <c r="A40" s="7" t="s">
        <v>54</v>
      </c>
      <c r="B40" s="349">
        <f>SUM(B12+B28+B32+B38)</f>
        <v>8771</v>
      </c>
      <c r="C40" s="344">
        <f>SUM(C12+C28+C32+C38)</f>
        <v>10170.229999999998</v>
      </c>
      <c r="D40" s="601">
        <f>SUM(D12+D28+D32+D38)</f>
        <v>4531.5700000000006</v>
      </c>
      <c r="E40" s="601">
        <f>SUM(E12+E28+E32+E38)</f>
        <v>14701.8</v>
      </c>
    </row>
    <row r="42" spans="1:7" x14ac:dyDescent="0.2">
      <c r="A42" s="369" t="s">
        <v>708</v>
      </c>
      <c r="B42" s="15"/>
      <c r="C42" s="396"/>
      <c r="D42" t="s">
        <v>703</v>
      </c>
      <c r="E42"/>
      <c r="F42" s="2"/>
    </row>
    <row r="43" spans="1:7" x14ac:dyDescent="0.2">
      <c r="A43" s="357" t="s">
        <v>709</v>
      </c>
      <c r="B43" s="216"/>
      <c r="C43" s="216"/>
      <c r="D43" s="367" t="s">
        <v>111</v>
      </c>
      <c r="E43" s="340"/>
      <c r="F43" s="15"/>
    </row>
    <row r="44" spans="1:7" s="356" customFormat="1" x14ac:dyDescent="0.2">
      <c r="A44" s="369" t="s">
        <v>704</v>
      </c>
      <c r="B44" s="602">
        <v>36.94</v>
      </c>
      <c r="C44" s="396"/>
      <c r="D44" s="357" t="s">
        <v>704</v>
      </c>
      <c r="E44" s="602">
        <v>41.55</v>
      </c>
    </row>
    <row r="45" spans="1:7" s="356" customFormat="1" x14ac:dyDescent="0.2">
      <c r="A45" s="369" t="s">
        <v>710</v>
      </c>
      <c r="B45" s="602">
        <v>109.66</v>
      </c>
      <c r="C45" s="396"/>
      <c r="D45" s="357" t="s">
        <v>705</v>
      </c>
      <c r="E45" s="602">
        <v>120.81</v>
      </c>
    </row>
    <row r="46" spans="1:7" x14ac:dyDescent="0.2">
      <c r="A46" s="369" t="s">
        <v>711</v>
      </c>
      <c r="B46" s="602">
        <v>217.77</v>
      </c>
      <c r="C46" s="396"/>
      <c r="D46" s="357" t="s">
        <v>706</v>
      </c>
      <c r="E46" s="602">
        <v>166.21</v>
      </c>
    </row>
    <row r="47" spans="1:7" x14ac:dyDescent="0.2">
      <c r="A47" s="369" t="s">
        <v>52</v>
      </c>
      <c r="B47" s="602">
        <v>63.87</v>
      </c>
      <c r="C47" s="396"/>
      <c r="D47" s="357" t="s">
        <v>1027</v>
      </c>
      <c r="E47" s="602">
        <v>210.84</v>
      </c>
    </row>
    <row r="48" spans="1:7" x14ac:dyDescent="0.2">
      <c r="A48" s="369" t="s">
        <v>881</v>
      </c>
      <c r="B48" s="602">
        <v>213.15</v>
      </c>
      <c r="C48" s="396"/>
      <c r="D48" s="357" t="s">
        <v>1028</v>
      </c>
      <c r="E48" s="602">
        <v>256.24</v>
      </c>
    </row>
    <row r="49" spans="1:6" s="356" customFormat="1" x14ac:dyDescent="0.2">
      <c r="A49" s="369" t="s">
        <v>50</v>
      </c>
      <c r="B49" s="602">
        <v>55.4</v>
      </c>
      <c r="C49" s="396"/>
      <c r="D49" s="357"/>
      <c r="E49" s="613"/>
    </row>
    <row r="50" spans="1:6" x14ac:dyDescent="0.2">
      <c r="A50" s="387" t="s">
        <v>860</v>
      </c>
      <c r="B50" s="602">
        <v>0.86</v>
      </c>
      <c r="C50" s="396"/>
      <c r="D50" s="162" t="s">
        <v>707</v>
      </c>
      <c r="E50" s="602"/>
      <c r="F50" s="15"/>
    </row>
    <row r="51" spans="1:6" x14ac:dyDescent="0.2">
      <c r="A51" s="15"/>
      <c r="B51" s="396"/>
      <c r="C51" s="396"/>
      <c r="D51" s="357" t="s">
        <v>882</v>
      </c>
      <c r="E51" s="602">
        <v>438.62</v>
      </c>
    </row>
    <row r="52" spans="1:6" x14ac:dyDescent="0.2">
      <c r="A52" s="369"/>
      <c r="B52" s="396"/>
      <c r="C52" s="396"/>
      <c r="D52" s="357" t="s">
        <v>50</v>
      </c>
      <c r="E52" s="602">
        <v>92.34</v>
      </c>
    </row>
    <row r="53" spans="1:6" x14ac:dyDescent="0.2">
      <c r="A53" s="15"/>
      <c r="B53" s="15"/>
      <c r="C53" s="396"/>
      <c r="D53" s="357" t="s">
        <v>52</v>
      </c>
      <c r="E53" s="602">
        <v>146.21</v>
      </c>
      <c r="F53" s="2"/>
    </row>
    <row r="54" spans="1:6" x14ac:dyDescent="0.2">
      <c r="C54" s="396"/>
      <c r="F54" s="2"/>
    </row>
  </sheetData>
  <mergeCells count="2">
    <mergeCell ref="A1:E1"/>
    <mergeCell ref="A2:E2"/>
  </mergeCells>
  <printOptions horizontalCentered="1"/>
  <pageMargins left="0.41" right="0.75" top="0.28000000000000003" bottom="0.77" header="0.25" footer="0.5"/>
  <pageSetup scale="92" firstPageNumber="17" orientation="portrait" useFirstPageNumber="1" r:id="rId1"/>
  <headerFooter alignWithMargins="0">
    <oddFooter>&amp;L&amp;6&amp;Z&amp;F   &amp;A&amp;C&amp;6Page &amp;P&amp;R&amp;6&amp;D   &amp;T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H40"/>
  <sheetViews>
    <sheetView topLeftCell="A7" workbookViewId="0">
      <selection activeCell="A2" sqref="A2:F2"/>
    </sheetView>
  </sheetViews>
  <sheetFormatPr defaultRowHeight="12.75" x14ac:dyDescent="0.2"/>
  <cols>
    <col min="1" max="1" width="19" customWidth="1"/>
    <col min="2" max="2" width="9.28515625" style="13" bestFit="1" customWidth="1"/>
    <col min="3" max="3" width="9.28515625" style="547" bestFit="1" customWidth="1"/>
    <col min="4" max="4" width="10.28515625" style="1" bestFit="1" customWidth="1"/>
    <col min="5" max="5" width="10.42578125" style="1" customWidth="1"/>
    <col min="6" max="6" width="10.28515625" style="512" bestFit="1" customWidth="1"/>
  </cols>
  <sheetData>
    <row r="1" spans="1:6" ht="18" x14ac:dyDescent="0.25">
      <c r="A1" s="878" t="s">
        <v>1314</v>
      </c>
      <c r="B1" s="878"/>
      <c r="C1" s="878"/>
      <c r="D1" s="878"/>
      <c r="E1" s="878"/>
      <c r="F1" s="878"/>
    </row>
    <row r="2" spans="1:6" x14ac:dyDescent="0.2">
      <c r="A2" s="882" t="s">
        <v>603</v>
      </c>
      <c r="B2" s="882"/>
      <c r="C2" s="882"/>
      <c r="D2" s="882"/>
      <c r="E2" s="882"/>
      <c r="F2" s="882"/>
    </row>
    <row r="3" spans="1:6" x14ac:dyDescent="0.2">
      <c r="A3" s="177"/>
      <c r="B3" s="177"/>
      <c r="C3" s="543"/>
      <c r="D3" s="177"/>
      <c r="E3" s="177"/>
      <c r="F3" s="614"/>
    </row>
    <row r="4" spans="1:6" ht="27" customHeight="1" x14ac:dyDescent="0.2">
      <c r="A4" s="883" t="s">
        <v>436</v>
      </c>
      <c r="B4" s="884"/>
      <c r="C4" s="884"/>
      <c r="D4" s="884"/>
      <c r="E4" s="884"/>
      <c r="F4" s="885"/>
    </row>
    <row r="6" spans="1:6" x14ac:dyDescent="0.2">
      <c r="A6" s="46"/>
      <c r="B6" s="145"/>
      <c r="C6" s="544" t="s">
        <v>67</v>
      </c>
      <c r="D6" s="146" t="s">
        <v>85</v>
      </c>
      <c r="E6" s="146"/>
      <c r="F6" s="664" t="s">
        <v>80</v>
      </c>
    </row>
    <row r="7" spans="1:6" x14ac:dyDescent="0.2">
      <c r="A7" s="2" t="s">
        <v>9</v>
      </c>
      <c r="B7" s="13" t="s">
        <v>59</v>
      </c>
      <c r="C7" s="545" t="s">
        <v>11</v>
      </c>
      <c r="D7" s="3" t="s">
        <v>23</v>
      </c>
      <c r="E7" s="3" t="s">
        <v>81</v>
      </c>
      <c r="F7" s="665" t="s">
        <v>82</v>
      </c>
    </row>
    <row r="8" spans="1:6" x14ac:dyDescent="0.2">
      <c r="A8" s="51"/>
      <c r="B8" s="147" t="s">
        <v>62</v>
      </c>
      <c r="C8" s="546" t="s">
        <v>23</v>
      </c>
      <c r="D8" s="148" t="s">
        <v>67</v>
      </c>
      <c r="E8" s="148" t="s">
        <v>67</v>
      </c>
      <c r="F8" s="666" t="s">
        <v>67</v>
      </c>
    </row>
    <row r="9" spans="1:6" x14ac:dyDescent="0.2">
      <c r="A9" t="s">
        <v>30</v>
      </c>
      <c r="B9" s="13">
        <f>'5-Enrollment Projection'!E8</f>
        <v>36</v>
      </c>
      <c r="C9" s="547">
        <v>3.2</v>
      </c>
      <c r="D9" s="1">
        <f>ROUND(B9*C9,2)</f>
        <v>115.2</v>
      </c>
      <c r="E9" s="1">
        <v>270</v>
      </c>
      <c r="F9" s="512">
        <f>SUM(D9:E9)</f>
        <v>385.2</v>
      </c>
    </row>
    <row r="10" spans="1:6" x14ac:dyDescent="0.2">
      <c r="A10" t="s">
        <v>32</v>
      </c>
      <c r="B10" s="13">
        <f>'5-Enrollment Projection'!E9</f>
        <v>25</v>
      </c>
      <c r="C10" s="547">
        <v>3.2</v>
      </c>
      <c r="D10" s="1">
        <f>ROUND(B10*C10,2)</f>
        <v>80</v>
      </c>
      <c r="E10" s="1">
        <v>270</v>
      </c>
      <c r="F10" s="512">
        <f>SUM(D10:E10)</f>
        <v>350</v>
      </c>
    </row>
    <row r="11" spans="1:6" x14ac:dyDescent="0.2">
      <c r="A11" t="s">
        <v>33</v>
      </c>
      <c r="B11" s="13">
        <f>'5-Enrollment Projection'!E10</f>
        <v>16</v>
      </c>
      <c r="C11" s="547">
        <v>3.2</v>
      </c>
      <c r="D11" s="1">
        <f>ROUND(B11*C11,2)</f>
        <v>51.2</v>
      </c>
      <c r="E11" s="1">
        <v>270</v>
      </c>
      <c r="F11" s="512">
        <f>SUM(D11:E11)</f>
        <v>321.2</v>
      </c>
    </row>
    <row r="12" spans="1:6" x14ac:dyDescent="0.2">
      <c r="A12" s="5" t="s">
        <v>34</v>
      </c>
      <c r="B12" s="35">
        <f>SUM(B9:B11)</f>
        <v>77</v>
      </c>
      <c r="C12" s="548"/>
      <c r="D12" s="6">
        <f>SUM(D9:D11)</f>
        <v>246.39999999999998</v>
      </c>
      <c r="E12" s="6">
        <f>SUM(E9:E11)</f>
        <v>810</v>
      </c>
      <c r="F12" s="606">
        <f>SUM(F9:F11)</f>
        <v>1056.4000000000001</v>
      </c>
    </row>
    <row r="14" spans="1:6" s="356" customFormat="1" x14ac:dyDescent="0.2">
      <c r="A14" s="356" t="s">
        <v>693</v>
      </c>
      <c r="B14" s="13">
        <f>'5-Enrollment Projection'!E14</f>
        <v>417</v>
      </c>
      <c r="C14" s="547">
        <v>3.15</v>
      </c>
      <c r="D14" s="1">
        <f>ROUND(B14*C14,2)</f>
        <v>1313.55</v>
      </c>
      <c r="E14" s="1">
        <v>0</v>
      </c>
      <c r="F14" s="512">
        <f>SUM(D14:E14)</f>
        <v>1313.55</v>
      </c>
    </row>
    <row r="15" spans="1:6" x14ac:dyDescent="0.2">
      <c r="A15" t="s">
        <v>35</v>
      </c>
      <c r="B15" s="13">
        <f>'5-Enrollment Projection'!E15</f>
        <v>372</v>
      </c>
      <c r="C15" s="547">
        <v>3.15</v>
      </c>
      <c r="D15" s="1">
        <f t="shared" ref="D15:D27" si="0">ROUND(B15*C15,2)</f>
        <v>1171.8</v>
      </c>
      <c r="E15" s="1">
        <v>0</v>
      </c>
      <c r="F15" s="512">
        <f t="shared" ref="F15:F27" si="1">SUM(D15:E15)</f>
        <v>1171.8</v>
      </c>
    </row>
    <row r="16" spans="1:6" x14ac:dyDescent="0.2">
      <c r="A16" t="s">
        <v>36</v>
      </c>
      <c r="B16" s="13">
        <f>'5-Enrollment Projection'!E16</f>
        <v>209</v>
      </c>
      <c r="C16" s="547">
        <v>3.15</v>
      </c>
      <c r="D16" s="1">
        <f t="shared" si="0"/>
        <v>658.35</v>
      </c>
      <c r="E16" s="1">
        <v>0</v>
      </c>
      <c r="F16" s="512">
        <f t="shared" si="1"/>
        <v>658.35</v>
      </c>
    </row>
    <row r="17" spans="1:6" x14ac:dyDescent="0.2">
      <c r="A17" t="s">
        <v>37</v>
      </c>
      <c r="B17" s="13">
        <f>'5-Enrollment Projection'!E17</f>
        <v>408</v>
      </c>
      <c r="C17" s="547">
        <v>3.15</v>
      </c>
      <c r="D17" s="1">
        <f t="shared" si="0"/>
        <v>1285.2</v>
      </c>
      <c r="E17" s="1">
        <v>0</v>
      </c>
      <c r="F17" s="512">
        <f t="shared" si="1"/>
        <v>1285.2</v>
      </c>
    </row>
    <row r="18" spans="1:6" x14ac:dyDescent="0.2">
      <c r="A18" t="s">
        <v>38</v>
      </c>
      <c r="B18" s="13">
        <f>'5-Enrollment Projection'!E18</f>
        <v>440</v>
      </c>
      <c r="C18" s="547">
        <v>3.15</v>
      </c>
      <c r="D18" s="1">
        <f t="shared" si="0"/>
        <v>1386</v>
      </c>
      <c r="E18" s="1">
        <v>0</v>
      </c>
      <c r="F18" s="512">
        <f t="shared" si="1"/>
        <v>1386</v>
      </c>
    </row>
    <row r="19" spans="1:6" x14ac:dyDescent="0.2">
      <c r="A19" t="s">
        <v>39</v>
      </c>
      <c r="B19" s="13">
        <f>'5-Enrollment Projection'!E19</f>
        <v>259</v>
      </c>
      <c r="C19" s="547">
        <v>3.15</v>
      </c>
      <c r="D19" s="1">
        <f t="shared" si="0"/>
        <v>815.85</v>
      </c>
      <c r="E19" s="1">
        <v>0</v>
      </c>
      <c r="F19" s="512">
        <f t="shared" si="1"/>
        <v>815.85</v>
      </c>
    </row>
    <row r="20" spans="1:6" x14ac:dyDescent="0.2">
      <c r="A20" t="s">
        <v>40</v>
      </c>
      <c r="B20" s="13">
        <f>'5-Enrollment Projection'!E20</f>
        <v>333</v>
      </c>
      <c r="C20" s="547">
        <v>3.15</v>
      </c>
      <c r="D20" s="1">
        <f t="shared" si="0"/>
        <v>1048.95</v>
      </c>
      <c r="E20" s="1">
        <v>0</v>
      </c>
      <c r="F20" s="512">
        <f t="shared" si="1"/>
        <v>1048.95</v>
      </c>
    </row>
    <row r="21" spans="1:6" x14ac:dyDescent="0.2">
      <c r="A21" t="s">
        <v>667</v>
      </c>
      <c r="B21" s="13">
        <f>'5-Enrollment Projection'!E21</f>
        <v>350</v>
      </c>
      <c r="C21" s="547">
        <v>3.15</v>
      </c>
      <c r="D21" s="1">
        <f>ROUND(B21*C21,2)</f>
        <v>1102.5</v>
      </c>
      <c r="E21" s="1">
        <v>0</v>
      </c>
      <c r="F21" s="512">
        <f>SUM(D21:E21)</f>
        <v>1102.5</v>
      </c>
    </row>
    <row r="22" spans="1:6" x14ac:dyDescent="0.2">
      <c r="A22" t="s">
        <v>41</v>
      </c>
      <c r="B22" s="13">
        <f>'5-Enrollment Projection'!E22</f>
        <v>410</v>
      </c>
      <c r="C22" s="547">
        <v>3.15</v>
      </c>
      <c r="D22" s="1">
        <f t="shared" si="0"/>
        <v>1291.5</v>
      </c>
      <c r="E22" s="1">
        <v>0</v>
      </c>
      <c r="F22" s="512">
        <f t="shared" si="1"/>
        <v>1291.5</v>
      </c>
    </row>
    <row r="23" spans="1:6" x14ac:dyDescent="0.2">
      <c r="A23" t="s">
        <v>42</v>
      </c>
      <c r="B23" s="13">
        <f>'5-Enrollment Projection'!E23</f>
        <v>309</v>
      </c>
      <c r="C23" s="547">
        <v>3.15</v>
      </c>
      <c r="D23" s="1">
        <f t="shared" si="0"/>
        <v>973.35</v>
      </c>
      <c r="E23" s="1">
        <v>270</v>
      </c>
      <c r="F23" s="512">
        <f t="shared" si="1"/>
        <v>1243.3499999999999</v>
      </c>
    </row>
    <row r="24" spans="1:6" x14ac:dyDescent="0.2">
      <c r="A24" t="s">
        <v>43</v>
      </c>
      <c r="B24" s="13">
        <f>'5-Enrollment Projection'!E24</f>
        <v>280</v>
      </c>
      <c r="C24" s="547">
        <v>3.15</v>
      </c>
      <c r="D24" s="1">
        <f t="shared" si="0"/>
        <v>882</v>
      </c>
      <c r="E24" s="1">
        <v>0</v>
      </c>
      <c r="F24" s="512">
        <f t="shared" si="1"/>
        <v>882</v>
      </c>
    </row>
    <row r="25" spans="1:6" s="395" customFormat="1" x14ac:dyDescent="0.2">
      <c r="A25" s="395" t="s">
        <v>818</v>
      </c>
      <c r="B25" s="13">
        <f>'6-Schools'!B26</f>
        <v>406</v>
      </c>
      <c r="C25" s="547">
        <v>3.15</v>
      </c>
      <c r="D25" s="1">
        <f t="shared" si="0"/>
        <v>1278.9000000000001</v>
      </c>
      <c r="E25" s="1"/>
      <c r="F25" s="512">
        <f t="shared" si="1"/>
        <v>1278.9000000000001</v>
      </c>
    </row>
    <row r="26" spans="1:6" x14ac:dyDescent="0.2">
      <c r="A26" t="s">
        <v>44</v>
      </c>
      <c r="B26" s="13">
        <f>'5-Enrollment Projection'!E26</f>
        <v>348</v>
      </c>
      <c r="C26" s="547">
        <v>3.15</v>
      </c>
      <c r="D26" s="1">
        <f t="shared" si="0"/>
        <v>1096.2</v>
      </c>
      <c r="E26" s="1">
        <v>0</v>
      </c>
      <c r="F26" s="512">
        <f t="shared" si="1"/>
        <v>1096.2</v>
      </c>
    </row>
    <row r="27" spans="1:6" x14ac:dyDescent="0.2">
      <c r="A27" t="s">
        <v>45</v>
      </c>
      <c r="B27" s="13">
        <f>'5-Enrollment Projection'!E27</f>
        <v>314</v>
      </c>
      <c r="C27" s="547">
        <v>3.15</v>
      </c>
      <c r="D27" s="1">
        <f t="shared" si="0"/>
        <v>989.1</v>
      </c>
      <c r="E27" s="1">
        <v>0</v>
      </c>
      <c r="F27" s="512">
        <f t="shared" si="1"/>
        <v>989.1</v>
      </c>
    </row>
    <row r="28" spans="1:6" x14ac:dyDescent="0.2">
      <c r="A28" s="5" t="s">
        <v>46</v>
      </c>
      <c r="B28" s="35">
        <f>SUM(B14:B27)</f>
        <v>4855</v>
      </c>
      <c r="C28" s="548"/>
      <c r="D28" s="6">
        <f>SUM(D14:D27)</f>
        <v>15293.250000000002</v>
      </c>
      <c r="E28" s="6">
        <f>SUM(E14:E27)</f>
        <v>270</v>
      </c>
      <c r="F28" s="606">
        <f>SUM(F14:F27)</f>
        <v>15563.250000000002</v>
      </c>
    </row>
    <row r="30" spans="1:6" x14ac:dyDescent="0.2">
      <c r="A30" t="s">
        <v>47</v>
      </c>
      <c r="B30" s="13">
        <f>'5-Enrollment Projection'!E31</f>
        <v>647</v>
      </c>
      <c r="C30" s="547">
        <v>6.75</v>
      </c>
      <c r="D30" s="1">
        <f>ROUND(B30*C30,2)</f>
        <v>4367.25</v>
      </c>
      <c r="E30" s="1">
        <v>0</v>
      </c>
      <c r="F30" s="512">
        <f>SUM(D30:E30)</f>
        <v>4367.25</v>
      </c>
    </row>
    <row r="31" spans="1:6" x14ac:dyDescent="0.2">
      <c r="A31" t="s">
        <v>48</v>
      </c>
      <c r="B31" s="13">
        <f>'5-Enrollment Projection'!E32</f>
        <v>663</v>
      </c>
      <c r="C31" s="547">
        <v>6.75</v>
      </c>
      <c r="D31" s="1">
        <f>ROUND(B31*C31,2)</f>
        <v>4475.25</v>
      </c>
      <c r="E31" s="1">
        <v>0</v>
      </c>
      <c r="F31" s="512">
        <f>SUM(D31:E31)</f>
        <v>4475.25</v>
      </c>
    </row>
    <row r="32" spans="1:6" x14ac:dyDescent="0.2">
      <c r="A32" s="5" t="s">
        <v>49</v>
      </c>
      <c r="B32" s="6">
        <f>SUM(B30:B31)</f>
        <v>1310</v>
      </c>
      <c r="C32" s="548"/>
      <c r="D32" s="6">
        <f>SUM(D30:D31)</f>
        <v>8842.5</v>
      </c>
      <c r="E32" s="6">
        <f>SUM(E30:E31)</f>
        <v>0</v>
      </c>
      <c r="F32" s="606">
        <f>SUM(F30:F31)</f>
        <v>8842.5</v>
      </c>
    </row>
    <row r="33" spans="1:8" x14ac:dyDescent="0.2">
      <c r="B33" s="1"/>
    </row>
    <row r="34" spans="1:8" x14ac:dyDescent="0.2">
      <c r="A34" t="s">
        <v>50</v>
      </c>
      <c r="B34" s="13">
        <f>'5-Enrollment Projection'!E36</f>
        <v>145</v>
      </c>
      <c r="C34" s="547">
        <v>6.75</v>
      </c>
      <c r="D34" s="1">
        <f>ROUND(B34*C34,2)</f>
        <v>978.75</v>
      </c>
      <c r="E34" s="1">
        <v>0</v>
      </c>
      <c r="F34" s="512">
        <f>SUM(D34:E34)</f>
        <v>978.75</v>
      </c>
    </row>
    <row r="35" spans="1:8" x14ac:dyDescent="0.2">
      <c r="A35" t="s">
        <v>51</v>
      </c>
      <c r="B35" s="13">
        <f>'5-Enrollment Projection'!E37</f>
        <v>1057</v>
      </c>
      <c r="C35" s="547">
        <v>6.75</v>
      </c>
      <c r="D35" s="1">
        <f>ROUND(B35*C35,2)</f>
        <v>7134.75</v>
      </c>
      <c r="E35" s="1">
        <v>0</v>
      </c>
      <c r="F35" s="512">
        <f>SUM(D35:E35)</f>
        <v>7134.75</v>
      </c>
    </row>
    <row r="36" spans="1:8" x14ac:dyDescent="0.2">
      <c r="A36" t="s">
        <v>871</v>
      </c>
      <c r="B36" s="13">
        <f>'5-Enrollment Projection'!E38</f>
        <v>1135</v>
      </c>
      <c r="C36" s="547">
        <v>6.75</v>
      </c>
      <c r="D36" s="1">
        <f>ROUND(B36*C36,2)</f>
        <v>7661.25</v>
      </c>
      <c r="E36" s="1">
        <v>0</v>
      </c>
      <c r="F36" s="512">
        <f>SUM(D36:E36)</f>
        <v>7661.25</v>
      </c>
    </row>
    <row r="37" spans="1:8" x14ac:dyDescent="0.2">
      <c r="A37" t="s">
        <v>52</v>
      </c>
      <c r="B37" s="13">
        <f>'5-Enrollment Projection'!E39</f>
        <v>192</v>
      </c>
      <c r="C37" s="547">
        <v>6.75</v>
      </c>
      <c r="D37" s="1">
        <f>ROUND(B37*C37,2)</f>
        <v>1296</v>
      </c>
      <c r="E37" s="1">
        <v>0</v>
      </c>
      <c r="F37" s="512">
        <f>SUM(D37:E37)</f>
        <v>1296</v>
      </c>
    </row>
    <row r="38" spans="1:8" x14ac:dyDescent="0.2">
      <c r="A38" s="5" t="s">
        <v>53</v>
      </c>
      <c r="B38" s="35">
        <f>SUM(B34:B37)</f>
        <v>2529</v>
      </c>
      <c r="C38" s="548"/>
      <c r="D38" s="6">
        <f>SUM(D34:D37)</f>
        <v>17070.75</v>
      </c>
      <c r="E38" s="6">
        <f>SUM(E34:E37)</f>
        <v>0</v>
      </c>
      <c r="F38" s="606">
        <f>SUM(F34:F37)</f>
        <v>17070.75</v>
      </c>
    </row>
    <row r="40" spans="1:8" x14ac:dyDescent="0.2">
      <c r="A40" s="23" t="s">
        <v>122</v>
      </c>
      <c r="B40" s="36">
        <f>SUM(B12+B28+B32+B38)</f>
        <v>8771</v>
      </c>
      <c r="C40" s="549"/>
      <c r="D40" s="37">
        <f>SUM(D12+D28+D32+D38)</f>
        <v>41452.9</v>
      </c>
      <c r="E40" s="37">
        <f>SUM(E12+E28+E32+E38)</f>
        <v>1080</v>
      </c>
      <c r="F40" s="667">
        <f>SUM(F12+F28+F32+F38)</f>
        <v>42532.9</v>
      </c>
      <c r="H40" s="414"/>
    </row>
  </sheetData>
  <mergeCells count="3">
    <mergeCell ref="A1:F1"/>
    <mergeCell ref="A2:F2"/>
    <mergeCell ref="A4:F4"/>
  </mergeCells>
  <phoneticPr fontId="0" type="noConversion"/>
  <printOptions horizontalCentered="1"/>
  <pageMargins left="0.34" right="0.26" top="0.69" bottom="0.53" header="0.5" footer="0.21"/>
  <pageSetup firstPageNumber="13" orientation="portrait" useFirstPageNumber="1" r:id="rId1"/>
  <headerFooter alignWithMargins="0">
    <oddFooter>&amp;L&amp;6&amp;Z&amp;F   &amp;A
&amp;C&amp;8    
&amp;6  Page &amp;P    &amp;8                                                   &amp;R&amp;6&amp;D    &amp;T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0"/>
  <sheetViews>
    <sheetView topLeftCell="A28" workbookViewId="0">
      <selection activeCell="A2" sqref="A2:D2"/>
    </sheetView>
  </sheetViews>
  <sheetFormatPr defaultRowHeight="12.75" x14ac:dyDescent="0.2"/>
  <cols>
    <col min="1" max="1" width="20.42578125" customWidth="1"/>
    <col min="2" max="2" width="12.7109375" style="2" customWidth="1"/>
    <col min="3" max="3" width="13.5703125" style="15" customWidth="1"/>
    <col min="4" max="4" width="15" style="15" customWidth="1"/>
    <col min="7" max="7" width="10.85546875" bestFit="1" customWidth="1"/>
  </cols>
  <sheetData>
    <row r="1" spans="1:4" ht="18" x14ac:dyDescent="0.25">
      <c r="A1" s="878" t="s">
        <v>1313</v>
      </c>
      <c r="B1" s="878"/>
      <c r="C1" s="878"/>
      <c r="D1" s="878"/>
    </row>
    <row r="2" spans="1:4" x14ac:dyDescent="0.2">
      <c r="A2" s="882" t="s">
        <v>564</v>
      </c>
      <c r="B2" s="882"/>
      <c r="C2" s="882"/>
      <c r="D2" s="882"/>
    </row>
    <row r="3" spans="1:4" x14ac:dyDescent="0.2">
      <c r="A3" s="177"/>
      <c r="B3" s="177"/>
      <c r="C3" s="177"/>
      <c r="D3" s="177"/>
    </row>
    <row r="4" spans="1:4" x14ac:dyDescent="0.2">
      <c r="A4" s="229" t="s">
        <v>399</v>
      </c>
      <c r="B4" s="231"/>
      <c r="C4" s="231"/>
      <c r="D4" s="231"/>
    </row>
    <row r="5" spans="1:4" x14ac:dyDescent="0.2">
      <c r="A5" s="230" t="s">
        <v>400</v>
      </c>
      <c r="B5" s="232"/>
      <c r="C5" s="232"/>
      <c r="D5" s="232"/>
    </row>
    <row r="7" spans="1:4" x14ac:dyDescent="0.2">
      <c r="A7" s="46" t="s">
        <v>9</v>
      </c>
      <c r="B7" s="277" t="s">
        <v>59</v>
      </c>
      <c r="C7" s="152" t="s">
        <v>98</v>
      </c>
      <c r="D7" s="152" t="s">
        <v>98</v>
      </c>
    </row>
    <row r="8" spans="1:4" x14ac:dyDescent="0.2">
      <c r="A8" s="51"/>
      <c r="B8" s="278" t="s">
        <v>61</v>
      </c>
      <c r="C8" s="153" t="s">
        <v>23</v>
      </c>
      <c r="D8" s="153" t="s">
        <v>99</v>
      </c>
    </row>
    <row r="9" spans="1:4" x14ac:dyDescent="0.2">
      <c r="A9" t="s">
        <v>30</v>
      </c>
      <c r="B9" s="2">
        <f>'5-Enrollment Projection'!E8</f>
        <v>36</v>
      </c>
      <c r="C9" s="342">
        <f>B43</f>
        <v>21</v>
      </c>
      <c r="D9" s="342">
        <f>ROUND(B9*C9,2)</f>
        <v>756</v>
      </c>
    </row>
    <row r="10" spans="1:4" x14ac:dyDescent="0.2">
      <c r="A10" t="s">
        <v>32</v>
      </c>
      <c r="B10" s="2">
        <f>'5-Enrollment Projection'!E9</f>
        <v>25</v>
      </c>
      <c r="C10" s="342">
        <f>B43</f>
        <v>21</v>
      </c>
      <c r="D10" s="342">
        <f>ROUND(B10*C10,2)</f>
        <v>525</v>
      </c>
    </row>
    <row r="11" spans="1:4" x14ac:dyDescent="0.2">
      <c r="A11" t="s">
        <v>33</v>
      </c>
      <c r="B11" s="2">
        <f>'5-Enrollment Projection'!E10</f>
        <v>16</v>
      </c>
      <c r="C11" s="342">
        <f>B43</f>
        <v>21</v>
      </c>
      <c r="D11" s="342">
        <f>ROUND(B11*C11,2)</f>
        <v>336</v>
      </c>
    </row>
    <row r="12" spans="1:4" x14ac:dyDescent="0.2">
      <c r="A12" s="16" t="s">
        <v>34</v>
      </c>
      <c r="B12" s="599">
        <f>SUM(B9:B11)</f>
        <v>77</v>
      </c>
      <c r="C12" s="600"/>
      <c r="D12" s="600">
        <f>SUM(D9:D11)</f>
        <v>1617</v>
      </c>
    </row>
    <row r="13" spans="1:4" x14ac:dyDescent="0.2">
      <c r="C13" s="342"/>
      <c r="D13" s="342"/>
    </row>
    <row r="14" spans="1:4" s="356" customFormat="1" x14ac:dyDescent="0.2">
      <c r="A14" s="356" t="s">
        <v>693</v>
      </c>
      <c r="B14" s="2">
        <f>'5-Enrollment Projection'!E14</f>
        <v>417</v>
      </c>
      <c r="C14" s="342">
        <f>IF(B14&lt;200,$B$44,IF(AND(B14&gt;200,B14&lt;300),$B$45,IF(B14&gt;299,$B$46)))</f>
        <v>13.1</v>
      </c>
      <c r="D14" s="342">
        <f>ROUND(B14*C14,2)</f>
        <v>5462.7</v>
      </c>
    </row>
    <row r="15" spans="1:4" x14ac:dyDescent="0.2">
      <c r="A15" t="s">
        <v>35</v>
      </c>
      <c r="B15" s="2">
        <f>'5-Enrollment Projection'!E15</f>
        <v>372</v>
      </c>
      <c r="C15" s="342">
        <f t="shared" ref="C15:C27" si="0">IF(B15&lt;200,$B$44,IF(AND(B15&gt;200,B15&lt;300),$B$45,IF(B15&gt;299,$B$46)))</f>
        <v>13.1</v>
      </c>
      <c r="D15" s="342">
        <f t="shared" ref="D15:D27" si="1">ROUND(B15*C15,2)</f>
        <v>4873.2</v>
      </c>
    </row>
    <row r="16" spans="1:4" x14ac:dyDescent="0.2">
      <c r="A16" t="s">
        <v>36</v>
      </c>
      <c r="B16" s="2">
        <f>'5-Enrollment Projection'!E16</f>
        <v>209</v>
      </c>
      <c r="C16" s="342">
        <f t="shared" si="0"/>
        <v>14.8</v>
      </c>
      <c r="D16" s="342">
        <f t="shared" si="1"/>
        <v>3093.2</v>
      </c>
    </row>
    <row r="17" spans="1:7" x14ac:dyDescent="0.2">
      <c r="A17" t="s">
        <v>37</v>
      </c>
      <c r="B17" s="2">
        <f>'5-Enrollment Projection'!E17</f>
        <v>408</v>
      </c>
      <c r="C17" s="342">
        <f t="shared" si="0"/>
        <v>13.1</v>
      </c>
      <c r="D17" s="342">
        <f t="shared" si="1"/>
        <v>5344.8</v>
      </c>
    </row>
    <row r="18" spans="1:7" x14ac:dyDescent="0.2">
      <c r="A18" t="s">
        <v>38</v>
      </c>
      <c r="B18" s="2">
        <f>'5-Enrollment Projection'!E18</f>
        <v>440</v>
      </c>
      <c r="C18" s="342">
        <f t="shared" si="0"/>
        <v>13.1</v>
      </c>
      <c r="D18" s="342">
        <f t="shared" si="1"/>
        <v>5764</v>
      </c>
    </row>
    <row r="19" spans="1:7" x14ac:dyDescent="0.2">
      <c r="A19" t="s">
        <v>39</v>
      </c>
      <c r="B19" s="2">
        <f>'5-Enrollment Projection'!E19</f>
        <v>259</v>
      </c>
      <c r="C19" s="342">
        <f t="shared" si="0"/>
        <v>14.8</v>
      </c>
      <c r="D19" s="342">
        <f t="shared" si="1"/>
        <v>3833.2</v>
      </c>
    </row>
    <row r="20" spans="1:7" x14ac:dyDescent="0.2">
      <c r="A20" t="s">
        <v>40</v>
      </c>
      <c r="B20" s="2">
        <f>'5-Enrollment Projection'!E20</f>
        <v>333</v>
      </c>
      <c r="C20" s="342">
        <f t="shared" si="0"/>
        <v>13.1</v>
      </c>
      <c r="D20" s="342">
        <f t="shared" si="1"/>
        <v>4362.3</v>
      </c>
    </row>
    <row r="21" spans="1:7" x14ac:dyDescent="0.2">
      <c r="A21" s="357" t="s">
        <v>667</v>
      </c>
      <c r="B21" s="2">
        <f>'5-Enrollment Projection'!E21</f>
        <v>350</v>
      </c>
      <c r="C21" s="342">
        <f t="shared" si="0"/>
        <v>13.1</v>
      </c>
      <c r="D21" s="342">
        <f>ROUND(B21*C21,2)</f>
        <v>4585</v>
      </c>
    </row>
    <row r="22" spans="1:7" x14ac:dyDescent="0.2">
      <c r="A22" t="s">
        <v>41</v>
      </c>
      <c r="B22" s="2">
        <f>'5-Enrollment Projection'!E22</f>
        <v>410</v>
      </c>
      <c r="C22" s="342">
        <f t="shared" si="0"/>
        <v>13.1</v>
      </c>
      <c r="D22" s="342">
        <f t="shared" si="1"/>
        <v>5371</v>
      </c>
    </row>
    <row r="23" spans="1:7" x14ac:dyDescent="0.2">
      <c r="A23" t="s">
        <v>42</v>
      </c>
      <c r="B23" s="2">
        <f>'5-Enrollment Projection'!E23</f>
        <v>309</v>
      </c>
      <c r="C23" s="342">
        <f t="shared" si="0"/>
        <v>13.1</v>
      </c>
      <c r="D23" s="342">
        <f t="shared" si="1"/>
        <v>4047.9</v>
      </c>
    </row>
    <row r="24" spans="1:7" x14ac:dyDescent="0.2">
      <c r="A24" t="s">
        <v>43</v>
      </c>
      <c r="B24" s="2">
        <f>'5-Enrollment Projection'!E24</f>
        <v>280</v>
      </c>
      <c r="C24" s="342">
        <f t="shared" si="0"/>
        <v>14.8</v>
      </c>
      <c r="D24" s="342">
        <f t="shared" si="1"/>
        <v>4144</v>
      </c>
    </row>
    <row r="25" spans="1:7" s="395" customFormat="1" x14ac:dyDescent="0.2">
      <c r="A25" s="387" t="s">
        <v>818</v>
      </c>
      <c r="B25" s="415">
        <f>'6-Schools'!B26</f>
        <v>406</v>
      </c>
      <c r="C25" s="342">
        <f t="shared" si="0"/>
        <v>13.1</v>
      </c>
      <c r="D25" s="342">
        <f>ROUND(B25*C25,2)</f>
        <v>5318.6</v>
      </c>
    </row>
    <row r="26" spans="1:7" x14ac:dyDescent="0.2">
      <c r="A26" t="s">
        <v>44</v>
      </c>
      <c r="B26" s="2">
        <f>'5-Enrollment Projection'!E26</f>
        <v>348</v>
      </c>
      <c r="C26" s="342">
        <f t="shared" si="0"/>
        <v>13.1</v>
      </c>
      <c r="D26" s="342">
        <f t="shared" si="1"/>
        <v>4558.8</v>
      </c>
      <c r="G26" s="390"/>
    </row>
    <row r="27" spans="1:7" x14ac:dyDescent="0.2">
      <c r="A27" t="s">
        <v>45</v>
      </c>
      <c r="B27" s="2">
        <f>'5-Enrollment Projection'!E27</f>
        <v>314</v>
      </c>
      <c r="C27" s="342">
        <f t="shared" si="0"/>
        <v>13.1</v>
      </c>
      <c r="D27" s="342">
        <f t="shared" si="1"/>
        <v>4113.3999999999996</v>
      </c>
      <c r="G27" s="390"/>
    </row>
    <row r="28" spans="1:7" x14ac:dyDescent="0.2">
      <c r="A28" s="16" t="s">
        <v>46</v>
      </c>
      <c r="B28" s="17">
        <f>SUM(B14:B27)</f>
        <v>4855</v>
      </c>
      <c r="C28" s="600"/>
      <c r="D28" s="600">
        <f>SUM(D14:D27)</f>
        <v>64872.1</v>
      </c>
    </row>
    <row r="29" spans="1:7" x14ac:dyDescent="0.2">
      <c r="C29" s="342"/>
      <c r="D29" s="342"/>
    </row>
    <row r="30" spans="1:7" s="356" customFormat="1" x14ac:dyDescent="0.2">
      <c r="A30" s="356" t="s">
        <v>47</v>
      </c>
      <c r="B30" s="2">
        <f>'5-Enrollment Projection'!E31</f>
        <v>647</v>
      </c>
      <c r="C30" s="342">
        <v>15.25</v>
      </c>
      <c r="D30" s="342">
        <f>ROUND(B30*C30,2)</f>
        <v>9866.75</v>
      </c>
    </row>
    <row r="31" spans="1:7" s="356" customFormat="1" x14ac:dyDescent="0.2">
      <c r="A31" s="356" t="s">
        <v>48</v>
      </c>
      <c r="B31" s="2">
        <f>'5-Enrollment Projection'!E32</f>
        <v>663</v>
      </c>
      <c r="C31" s="342">
        <v>15.25</v>
      </c>
      <c r="D31" s="342">
        <f>ROUND(B31*C31,2)</f>
        <v>10110.75</v>
      </c>
    </row>
    <row r="32" spans="1:7" x14ac:dyDescent="0.2">
      <c r="A32" s="16" t="s">
        <v>49</v>
      </c>
      <c r="B32" s="17">
        <f>SUM(B30:B31)</f>
        <v>1310</v>
      </c>
      <c r="C32" s="600"/>
      <c r="D32" s="600">
        <f>SUM(D30:D31)</f>
        <v>19977.5</v>
      </c>
    </row>
    <row r="33" spans="1:4" x14ac:dyDescent="0.2">
      <c r="C33" s="342"/>
      <c r="D33" s="342"/>
    </row>
    <row r="34" spans="1:4" x14ac:dyDescent="0.2">
      <c r="A34" t="s">
        <v>50</v>
      </c>
      <c r="B34" s="2">
        <f>'5-Enrollment Projection'!E36</f>
        <v>145</v>
      </c>
      <c r="C34" s="342">
        <f>B49</f>
        <v>21.4</v>
      </c>
      <c r="D34" s="342">
        <f>ROUND(B34*C34,2)</f>
        <v>3103</v>
      </c>
    </row>
    <row r="35" spans="1:4" x14ac:dyDescent="0.2">
      <c r="A35" t="s">
        <v>51</v>
      </c>
      <c r="B35" s="2">
        <f>'5-Enrollment Projection'!E37</f>
        <v>1057</v>
      </c>
      <c r="C35" s="342">
        <v>15.25</v>
      </c>
      <c r="D35" s="342">
        <f>ROUND(B35*C35,2)</f>
        <v>16119.25</v>
      </c>
    </row>
    <row r="36" spans="1:4" x14ac:dyDescent="0.2">
      <c r="A36" s="395" t="s">
        <v>871</v>
      </c>
      <c r="B36" s="2">
        <f>'5-Enrollment Projection'!E38</f>
        <v>1135</v>
      </c>
      <c r="C36" s="342">
        <v>15.25</v>
      </c>
      <c r="D36" s="342">
        <f>ROUND(B36*C36,2)</f>
        <v>17308.75</v>
      </c>
    </row>
    <row r="37" spans="1:4" x14ac:dyDescent="0.2">
      <c r="A37" t="s">
        <v>52</v>
      </c>
      <c r="B37" s="2">
        <f>'5-Enrollment Projection'!E39</f>
        <v>192</v>
      </c>
      <c r="C37" s="342">
        <f>B50</f>
        <v>21.4</v>
      </c>
      <c r="D37" s="342">
        <f>ROUND(B37*C37,2)</f>
        <v>4108.8</v>
      </c>
    </row>
    <row r="38" spans="1:4" x14ac:dyDescent="0.2">
      <c r="A38" s="16" t="s">
        <v>53</v>
      </c>
      <c r="B38" s="17">
        <f>SUM(B34:B37)</f>
        <v>2529</v>
      </c>
      <c r="C38" s="600"/>
      <c r="D38" s="600">
        <f>SUM(D34:D37)</f>
        <v>40639.800000000003</v>
      </c>
    </row>
    <row r="39" spans="1:4" x14ac:dyDescent="0.2">
      <c r="C39" s="342"/>
      <c r="D39" s="342"/>
    </row>
    <row r="40" spans="1:4" x14ac:dyDescent="0.2">
      <c r="A40" s="7" t="s">
        <v>54</v>
      </c>
      <c r="B40" s="18">
        <f>SUM(B12+B28+B32+B38)</f>
        <v>8771</v>
      </c>
      <c r="C40" s="19"/>
      <c r="D40" s="19">
        <f>SUM(D12+D28+D32+D38)</f>
        <v>127106.40000000001</v>
      </c>
    </row>
    <row r="42" spans="1:4" x14ac:dyDescent="0.2">
      <c r="A42" s="177" t="s">
        <v>111</v>
      </c>
      <c r="B42" s="15"/>
      <c r="C42"/>
      <c r="D42" s="216"/>
    </row>
    <row r="43" spans="1:4" s="395" customFormat="1" x14ac:dyDescent="0.2">
      <c r="A43" s="571" t="s">
        <v>861</v>
      </c>
      <c r="B43" s="602">
        <v>21</v>
      </c>
      <c r="C43" s="387" t="s">
        <v>101</v>
      </c>
      <c r="D43" s="216"/>
    </row>
    <row r="44" spans="1:4" x14ac:dyDescent="0.2">
      <c r="A44" t="s">
        <v>100</v>
      </c>
      <c r="B44" s="602">
        <v>18.899999999999999</v>
      </c>
      <c r="C44" t="s">
        <v>101</v>
      </c>
      <c r="D44" s="217"/>
    </row>
    <row r="45" spans="1:4" x14ac:dyDescent="0.2">
      <c r="A45" t="s">
        <v>292</v>
      </c>
      <c r="B45" s="602">
        <v>14.8</v>
      </c>
      <c r="C45" t="s">
        <v>101</v>
      </c>
      <c r="D45" s="217"/>
    </row>
    <row r="46" spans="1:4" x14ac:dyDescent="0.2">
      <c r="A46" t="s">
        <v>102</v>
      </c>
      <c r="B46" s="602">
        <v>13.1</v>
      </c>
      <c r="C46" t="s">
        <v>101</v>
      </c>
      <c r="D46" s="217"/>
    </row>
    <row r="47" spans="1:4" x14ac:dyDescent="0.2">
      <c r="B47" s="613"/>
      <c r="D47" s="217"/>
    </row>
    <row r="48" spans="1:4" x14ac:dyDescent="0.2">
      <c r="A48" s="162" t="s">
        <v>942</v>
      </c>
      <c r="B48" s="602"/>
      <c r="C48"/>
      <c r="D48" s="217"/>
    </row>
    <row r="49" spans="1:4" x14ac:dyDescent="0.2">
      <c r="A49" t="s">
        <v>50</v>
      </c>
      <c r="B49" s="602">
        <v>21.4</v>
      </c>
      <c r="C49" t="s">
        <v>101</v>
      </c>
      <c r="D49" s="217"/>
    </row>
    <row r="50" spans="1:4" x14ac:dyDescent="0.2">
      <c r="A50" t="s">
        <v>103</v>
      </c>
      <c r="B50" s="602">
        <v>21.4</v>
      </c>
      <c r="C50" t="s">
        <v>101</v>
      </c>
      <c r="D50" s="217"/>
    </row>
  </sheetData>
  <mergeCells count="2">
    <mergeCell ref="A1:D1"/>
    <mergeCell ref="A2:D2"/>
  </mergeCells>
  <phoneticPr fontId="0" type="noConversion"/>
  <printOptions horizontalCentered="1"/>
  <pageMargins left="0.75" right="0.75" top="0.28000000000000003" bottom="0.77" header="0.25" footer="0.5"/>
  <pageSetup firstPageNumber="19" orientation="portrait" useFirstPageNumber="1" r:id="rId1"/>
  <headerFooter alignWithMargins="0">
    <oddFooter>&amp;L&amp;6&amp;Z&amp;F   &amp;A&amp;C&amp;8                                                             &amp;6Page &amp;P&amp;R&amp;6&amp;D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8</vt:i4>
      </vt:variant>
    </vt:vector>
  </HeadingPairs>
  <TitlesOfParts>
    <vt:vector size="35" baseType="lpstr">
      <vt:lpstr>1-PERSONNEL SUMMARY</vt:lpstr>
      <vt:lpstr>2-Section Report</vt:lpstr>
      <vt:lpstr>3-Inst. TA</vt:lpstr>
      <vt:lpstr>4-NON Salary &amp; Benefit SUMMARY</vt:lpstr>
      <vt:lpstr>5-Enrollment Projection</vt:lpstr>
      <vt:lpstr>6-Schools</vt:lpstr>
      <vt:lpstr>7-Nurse</vt:lpstr>
      <vt:lpstr>8-Capital Equip-Schools</vt:lpstr>
      <vt:lpstr>9-Lib-Media</vt:lpstr>
      <vt:lpstr>10-Admin</vt:lpstr>
      <vt:lpstr>11-School Improvment</vt:lpstr>
      <vt:lpstr>12-Misc School Allocations</vt:lpstr>
      <vt:lpstr>13-Custodial</vt:lpstr>
      <vt:lpstr>14-Special Prog</vt:lpstr>
      <vt:lpstr>15-Prof'l Dev-Certified</vt:lpstr>
      <vt:lpstr>16-Prof'l Dev-ESP</vt:lpstr>
      <vt:lpstr>Field Trips</vt:lpstr>
      <vt:lpstr>Mileage-Schools</vt:lpstr>
      <vt:lpstr>Telephone</vt:lpstr>
      <vt:lpstr>Utilities</vt:lpstr>
      <vt:lpstr>Fuel</vt:lpstr>
      <vt:lpstr>Mileage-Departments</vt:lpstr>
      <vt:lpstr>Activities Dept Breakdown</vt:lpstr>
      <vt:lpstr>Capital Equip-Finance</vt:lpstr>
      <vt:lpstr>Departments</vt:lpstr>
      <vt:lpstr>Summary</vt:lpstr>
      <vt:lpstr>Notes</vt:lpstr>
      <vt:lpstr>'12-Misc School Allocations'!Print_Area</vt:lpstr>
      <vt:lpstr>'15-Prof''l Dev-Certified'!Print_Area</vt:lpstr>
      <vt:lpstr>'16-Prof''l Dev-ESP'!Print_Area</vt:lpstr>
      <vt:lpstr>'7-Nurse'!Print_Area</vt:lpstr>
      <vt:lpstr>Fuel!Print_Area</vt:lpstr>
      <vt:lpstr>Summary!Print_Area</vt:lpstr>
      <vt:lpstr>'12-Misc School Allocations'!Print_Titles</vt:lpstr>
      <vt:lpstr>Departments!Print_Titles</vt:lpstr>
    </vt:vector>
  </TitlesOfParts>
  <Company>CCSD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Haney</dc:creator>
  <cp:lastModifiedBy>kturman</cp:lastModifiedBy>
  <cp:lastPrinted>2020-06-23T16:13:11Z</cp:lastPrinted>
  <dcterms:created xsi:type="dcterms:W3CDTF">2001-11-21T20:37:50Z</dcterms:created>
  <dcterms:modified xsi:type="dcterms:W3CDTF">2020-06-24T15:46:44Z</dcterms:modified>
</cp:coreProperties>
</file>